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emens\Documents\RVO\e-commerce\dls 2025\"/>
    </mc:Choice>
  </mc:AlternateContent>
  <workbookProtection workbookPassword="C837" lockStructure="1"/>
  <bookViews>
    <workbookView xWindow="0" yWindow="132" windowWidth="15216" windowHeight="8676"/>
  </bookViews>
  <sheets>
    <sheet name="RVO Jahresbudget 2025" sheetId="25" r:id="rId1"/>
    <sheet name="ESt-Tarif 2025" sheetId="24" r:id="rId2"/>
    <sheet name="RVO Jahresbudget 2024" sheetId="22" r:id="rId3"/>
    <sheet name="ESt-Tarif 2024" sheetId="23" r:id="rId4"/>
    <sheet name="RVO Jahresbudget 2023" sheetId="18" r:id="rId5"/>
    <sheet name="ESt-Tarif 2023" sheetId="21" r:id="rId6"/>
    <sheet name="RVO Jahresbudget 2022" sheetId="20" r:id="rId7"/>
    <sheet name="ESt-Tarif 2022" sheetId="19" r:id="rId8"/>
    <sheet name="RVO Jahresbudget 2021" sheetId="17" r:id="rId9"/>
    <sheet name="RVO Jahresbudget 2020" sheetId="14" r:id="rId10"/>
    <sheet name="ESt-Tarif 2020" sheetId="16" r:id="rId11"/>
    <sheet name="RVO Jahresbudget 2019" sheetId="15" r:id="rId12"/>
    <sheet name="RVO Jahresbudget 2018" sheetId="13" r:id="rId13"/>
    <sheet name="RVO Jahresbudget 2017" sheetId="12" r:id="rId14"/>
    <sheet name="RVO Jahresbudget 2016" sheetId="10" r:id="rId15"/>
    <sheet name="ESt-Tarif 2016" sheetId="11" r:id="rId16"/>
    <sheet name="RVO Jahresbudget 2015" sheetId="9" r:id="rId17"/>
    <sheet name="RVO Jahresbudget 2014" sheetId="8" r:id="rId18"/>
    <sheet name="RVO Jahresbudget 2013" sheetId="7" r:id="rId19"/>
    <sheet name="RVO Jahresbudget 2012" sheetId="6" r:id="rId20"/>
    <sheet name="RVO Jahresbudget 2011" sheetId="5" r:id="rId21"/>
    <sheet name="RVO Jahresbudget 2010" sheetId="4" r:id="rId22"/>
    <sheet name="RVO Jahresbudget 2009" sheetId="3" r:id="rId23"/>
    <sheet name="RVO Jahresbudget 2008" sheetId="1" r:id="rId24"/>
  </sheets>
  <definedNames>
    <definedName name="_xlnm._FilterDatabase" localSheetId="15" hidden="1">'ESt-Tarif 2016'!$A$2:$F$42</definedName>
    <definedName name="_xlnm._FilterDatabase" localSheetId="10" hidden="1">'ESt-Tarif 2020'!$A$2:$G$42</definedName>
    <definedName name="_xlnm._FilterDatabase" localSheetId="7" hidden="1">'ESt-Tarif 2022'!$A$2:$G$42</definedName>
    <definedName name="_xlnm._FilterDatabase" localSheetId="5" hidden="1">'ESt-Tarif 2023'!$A$2:$G$42</definedName>
    <definedName name="_xlnm._FilterDatabase" localSheetId="3" hidden="1">'ESt-Tarif 2024'!$A$2:$F$42</definedName>
    <definedName name="_xlnm._FilterDatabase" localSheetId="1" hidden="1">'ESt-Tarif 2025'!$A$2:$F$42</definedName>
    <definedName name="_xlnm._FilterDatabase" localSheetId="23" hidden="1">'RVO Jahresbudget 2008'!$A$2:$F$105</definedName>
    <definedName name="_xlnm._FilterDatabase" localSheetId="22" hidden="1">'RVO Jahresbudget 2009'!$A$2:$F$106</definedName>
    <definedName name="_xlnm._FilterDatabase" localSheetId="21" hidden="1">'RVO Jahresbudget 2010'!$A$2:$F$108</definedName>
    <definedName name="_xlnm._FilterDatabase" localSheetId="20" hidden="1">'RVO Jahresbudget 2011'!$A$2:$F$108</definedName>
    <definedName name="_xlnm._FilterDatabase" localSheetId="19" hidden="1">'RVO Jahresbudget 2012'!$A$2:$F$108</definedName>
    <definedName name="_xlnm._FilterDatabase" localSheetId="18" hidden="1">'RVO Jahresbudget 2013'!$A$2:$F$108</definedName>
    <definedName name="_xlnm._FilterDatabase" localSheetId="17" hidden="1">'RVO Jahresbudget 2014'!$A$2:$F$108</definedName>
    <definedName name="_xlnm._FilterDatabase" localSheetId="16" hidden="1">'RVO Jahresbudget 2015'!$A$2:$F$108</definedName>
    <definedName name="_xlnm._FilterDatabase" localSheetId="14" hidden="1">'RVO Jahresbudget 2016'!$A$2:$F$117</definedName>
    <definedName name="_xlnm._FilterDatabase" localSheetId="13" hidden="1">'RVO Jahresbudget 2017'!$A$2:$F$117</definedName>
    <definedName name="_xlnm._FilterDatabase" localSheetId="12" hidden="1">'RVO Jahresbudget 2018'!$A$2:$F$117</definedName>
    <definedName name="_xlnm._FilterDatabase" localSheetId="11" hidden="1">'RVO Jahresbudget 2019'!$A$2:$F$120</definedName>
    <definedName name="_xlnm._FilterDatabase" localSheetId="9" hidden="1">'RVO Jahresbudget 2020'!$A$2:$F$120</definedName>
    <definedName name="_xlnm._FilterDatabase" localSheetId="8" hidden="1">'RVO Jahresbudget 2021'!$A$2:$F$120</definedName>
    <definedName name="_xlnm._FilterDatabase" localSheetId="6" hidden="1">'RVO Jahresbudget 2022'!$A$2:$F$120</definedName>
    <definedName name="_xlnm._FilterDatabase" localSheetId="4" hidden="1">'RVO Jahresbudget 2023'!$A$2:$F$123</definedName>
    <definedName name="_xlnm._FilterDatabase" localSheetId="2" hidden="1">'RVO Jahresbudget 2024'!$A$2:$F$123</definedName>
    <definedName name="_xlnm._FilterDatabase" localSheetId="0" hidden="1">'RVO Jahresbudget 2025'!$A$2:$F$123</definedName>
    <definedName name="_xlnm.Print_Area" localSheetId="15">'ESt-Tarif 2016'!$A$1:$H$74</definedName>
    <definedName name="_xlnm.Print_Area" localSheetId="10">'ESt-Tarif 2020'!$A$1:$I$74</definedName>
    <definedName name="_xlnm.Print_Area" localSheetId="7">'ESt-Tarif 2022'!$A$1:$I$74</definedName>
    <definedName name="_xlnm.Print_Area" localSheetId="5">'ESt-Tarif 2023'!$A$1:$I$74</definedName>
    <definedName name="_xlnm.Print_Area" localSheetId="3">'ESt-Tarif 2024'!$A$1:$H$74</definedName>
    <definedName name="_xlnm.Print_Area" localSheetId="1">'ESt-Tarif 2025'!$A$1:$H$74</definedName>
    <definedName name="_xlnm.Print_Area" localSheetId="23">'RVO Jahresbudget 2008'!$A$1:$F$84</definedName>
    <definedName name="_xlnm.Print_Area" localSheetId="22">'RVO Jahresbudget 2009'!$A$1:$F$85</definedName>
    <definedName name="_xlnm.Print_Area" localSheetId="21">'RVO Jahresbudget 2010'!$A$1:$F$87</definedName>
    <definedName name="_xlnm.Print_Area" localSheetId="20">'RVO Jahresbudget 2011'!$A$1:$F$87</definedName>
    <definedName name="_xlnm.Print_Area" localSheetId="19">'RVO Jahresbudget 2012'!$A$1:$F$87</definedName>
    <definedName name="_xlnm.Print_Area" localSheetId="18">'RVO Jahresbudget 2013'!$A$1:$F$87</definedName>
    <definedName name="_xlnm.Print_Area" localSheetId="17">'RVO Jahresbudget 2014'!$A$1:$F$87</definedName>
    <definedName name="_xlnm.Print_Area" localSheetId="16">'RVO Jahresbudget 2015'!$A$1:$F$87</definedName>
    <definedName name="_xlnm.Print_Area" localSheetId="14">'RVO Jahresbudget 2016'!$A$1:$F$96</definedName>
    <definedName name="_xlnm.Print_Area" localSheetId="13">'RVO Jahresbudget 2017'!$A$1:$F$96</definedName>
    <definedName name="_xlnm.Print_Area" localSheetId="12">'RVO Jahresbudget 2018'!$A$1:$F$96</definedName>
    <definedName name="_xlnm.Print_Area" localSheetId="11">'RVO Jahresbudget 2019'!$A$1:$F$99</definedName>
    <definedName name="_xlnm.Print_Area" localSheetId="9">'RVO Jahresbudget 2020'!$A$1:$F$99</definedName>
    <definedName name="_xlnm.Print_Area" localSheetId="8">'RVO Jahresbudget 2021'!$A$1:$F$99</definedName>
    <definedName name="_xlnm.Print_Area" localSheetId="6">'RVO Jahresbudget 2022'!$A$1:$F$99</definedName>
    <definedName name="_xlnm.Print_Area" localSheetId="4">'RVO Jahresbudget 2023'!$A$1:$F$102</definedName>
    <definedName name="_xlnm.Print_Area" localSheetId="2">'RVO Jahresbudget 2024'!$A$1:$F$102</definedName>
    <definedName name="_xlnm.Print_Area" localSheetId="0">'RVO Jahresbudget 2025'!$A$1:$F$102</definedName>
    <definedName name="_xlnm.Print_Titles" localSheetId="15">'ESt-Tarif 2016'!$1:$1</definedName>
    <definedName name="_xlnm.Print_Titles" localSheetId="10">'ESt-Tarif 2020'!$1:$1</definedName>
    <definedName name="_xlnm.Print_Titles" localSheetId="7">'ESt-Tarif 2022'!$1:$1</definedName>
    <definedName name="_xlnm.Print_Titles" localSheetId="5">'ESt-Tarif 2023'!$1:$1</definedName>
    <definedName name="_xlnm.Print_Titles" localSheetId="3">'ESt-Tarif 2024'!$1:$1</definedName>
    <definedName name="_xlnm.Print_Titles" localSheetId="1">'ESt-Tarif 2025'!$1:$1</definedName>
    <definedName name="_xlnm.Print_Titles" localSheetId="23">'RVO Jahresbudget 2008'!$1:$1</definedName>
    <definedName name="_xlnm.Print_Titles" localSheetId="22">'RVO Jahresbudget 2009'!$1:$1</definedName>
    <definedName name="_xlnm.Print_Titles" localSheetId="21">'RVO Jahresbudget 2010'!$1:$1</definedName>
    <definedName name="_xlnm.Print_Titles" localSheetId="20">'RVO Jahresbudget 2011'!$1:$1</definedName>
    <definedName name="_xlnm.Print_Titles" localSheetId="19">'RVO Jahresbudget 2012'!$1:$1</definedName>
    <definedName name="_xlnm.Print_Titles" localSheetId="18">'RVO Jahresbudget 2013'!$1:$1</definedName>
    <definedName name="_xlnm.Print_Titles" localSheetId="17">'RVO Jahresbudget 2014'!$1:$1</definedName>
    <definedName name="_xlnm.Print_Titles" localSheetId="16">'RVO Jahresbudget 2015'!$1:$1</definedName>
    <definedName name="_xlnm.Print_Titles" localSheetId="14">'RVO Jahresbudget 2016'!$1:$1</definedName>
    <definedName name="_xlnm.Print_Titles" localSheetId="13">'RVO Jahresbudget 2017'!$1:$1</definedName>
    <definedName name="_xlnm.Print_Titles" localSheetId="12">'RVO Jahresbudget 2018'!$1:$1</definedName>
    <definedName name="_xlnm.Print_Titles" localSheetId="11">'RVO Jahresbudget 2019'!$1:$1</definedName>
    <definedName name="_xlnm.Print_Titles" localSheetId="9">'RVO Jahresbudget 2020'!$1:$1</definedName>
    <definedName name="_xlnm.Print_Titles" localSheetId="8">'RVO Jahresbudget 2021'!$1:$1</definedName>
    <definedName name="_xlnm.Print_Titles" localSheetId="6">'RVO Jahresbudget 2022'!$1:$1</definedName>
    <definedName name="_xlnm.Print_Titles" localSheetId="4">'RVO Jahresbudget 2023'!$1:$1</definedName>
    <definedName name="_xlnm.Print_Titles" localSheetId="2">'RVO Jahresbudget 2024'!$1:$1</definedName>
    <definedName name="_xlnm.Print_Titles" localSheetId="0">'RVO Jahresbudget 2025'!$1:$1</definedName>
  </definedNames>
  <calcPr calcId="152511"/>
</workbook>
</file>

<file path=xl/calcChain.xml><?xml version="1.0" encoding="utf-8"?>
<calcChain xmlns="http://schemas.openxmlformats.org/spreadsheetml/2006/main">
  <c r="F72" i="25" l="1"/>
  <c r="F71" i="25"/>
  <c r="E100" i="25"/>
  <c r="B100" i="25"/>
  <c r="C99" i="25"/>
  <c r="E97" i="25"/>
  <c r="C96" i="25"/>
  <c r="B80" i="25"/>
  <c r="B74" i="25"/>
  <c r="G71" i="25"/>
  <c r="H71" i="25" s="1"/>
  <c r="C45" i="25"/>
  <c r="C43" i="25"/>
  <c r="B43" i="25"/>
  <c r="B42" i="25"/>
  <c r="B39" i="25"/>
  <c r="B38" i="25"/>
  <c r="B34" i="25"/>
  <c r="D33" i="25"/>
  <c r="C33" i="25"/>
  <c r="C88" i="25" s="1"/>
  <c r="B88" i="25" s="1"/>
  <c r="D32" i="25"/>
  <c r="C32" i="25"/>
  <c r="C31" i="25"/>
  <c r="D30" i="25"/>
  <c r="C30" i="25"/>
  <c r="D29" i="25"/>
  <c r="C29" i="25"/>
  <c r="D28" i="25"/>
  <c r="C28" i="25"/>
  <c r="D27" i="25"/>
  <c r="C27" i="25"/>
  <c r="D26" i="25"/>
  <c r="C26" i="25"/>
  <c r="D25" i="25"/>
  <c r="C25" i="25"/>
  <c r="D24" i="25"/>
  <c r="C24" i="25"/>
  <c r="D23" i="25"/>
  <c r="C23" i="25"/>
  <c r="D22" i="25"/>
  <c r="C22" i="25"/>
  <c r="D21" i="25"/>
  <c r="C21" i="25"/>
  <c r="D20" i="25"/>
  <c r="C20" i="25"/>
  <c r="D19" i="25"/>
  <c r="C19" i="25"/>
  <c r="D18" i="25"/>
  <c r="C18" i="25"/>
  <c r="D17" i="25"/>
  <c r="C17" i="25"/>
  <c r="C90" i="25" s="1"/>
  <c r="B90" i="25" s="1"/>
  <c r="D16" i="25"/>
  <c r="C16" i="25"/>
  <c r="D15" i="25"/>
  <c r="C15" i="25"/>
  <c r="D14" i="25"/>
  <c r="C14" i="25"/>
  <c r="C34" i="25" s="1"/>
  <c r="B11" i="25"/>
  <c r="B79" i="25" s="1"/>
  <c r="D10" i="25"/>
  <c r="C10" i="25"/>
  <c r="D9" i="25"/>
  <c r="C9" i="25"/>
  <c r="D8" i="25"/>
  <c r="C8" i="25"/>
  <c r="D7" i="25"/>
  <c r="C7" i="25"/>
  <c r="D6" i="25"/>
  <c r="C6" i="25"/>
  <c r="D5" i="25"/>
  <c r="C5" i="25"/>
  <c r="D4" i="25"/>
  <c r="C4" i="25"/>
  <c r="C3" i="25"/>
  <c r="C11" i="25" s="1"/>
  <c r="D74" i="24"/>
  <c r="B74" i="24"/>
  <c r="D73" i="24"/>
  <c r="B73" i="24"/>
  <c r="D72" i="24"/>
  <c r="B72" i="24"/>
  <c r="D71" i="24"/>
  <c r="B71" i="24"/>
  <c r="D70" i="24"/>
  <c r="B70" i="24"/>
  <c r="D69" i="24"/>
  <c r="B69" i="24"/>
  <c r="D68" i="24"/>
  <c r="B68" i="24"/>
  <c r="D67" i="24"/>
  <c r="B67" i="24"/>
  <c r="D66" i="24"/>
  <c r="B66" i="24"/>
  <c r="D65" i="24"/>
  <c r="B65" i="24"/>
  <c r="D64" i="24"/>
  <c r="B64" i="24"/>
  <c r="D63" i="24"/>
  <c r="B63" i="24"/>
  <c r="D62" i="24"/>
  <c r="B62" i="24"/>
  <c r="D61" i="24"/>
  <c r="B61" i="24"/>
  <c r="D60" i="24"/>
  <c r="B60" i="24"/>
  <c r="D59" i="24"/>
  <c r="B59" i="24"/>
  <c r="D58" i="24"/>
  <c r="B58" i="24"/>
  <c r="D57" i="24"/>
  <c r="B57" i="24"/>
  <c r="D56" i="24"/>
  <c r="B56" i="24"/>
  <c r="D55" i="24"/>
  <c r="B55" i="24"/>
  <c r="D54" i="24"/>
  <c r="B54" i="24"/>
  <c r="D53" i="24"/>
  <c r="B53" i="24"/>
  <c r="D52" i="24"/>
  <c r="B52" i="24"/>
  <c r="D51" i="24"/>
  <c r="B51" i="24"/>
  <c r="D50" i="24"/>
  <c r="B50" i="24"/>
  <c r="D49" i="24"/>
  <c r="B49" i="24"/>
  <c r="D48" i="24"/>
  <c r="B48" i="24"/>
  <c r="D47" i="24"/>
  <c r="B47" i="24"/>
  <c r="D46" i="24"/>
  <c r="B46" i="24"/>
  <c r="D45" i="24"/>
  <c r="B45" i="24"/>
  <c r="D44" i="24"/>
  <c r="D43" i="24"/>
  <c r="D42" i="24"/>
  <c r="B42" i="24"/>
  <c r="D41" i="24"/>
  <c r="B41" i="24"/>
  <c r="D40" i="24"/>
  <c r="B40" i="24"/>
  <c r="D39" i="24"/>
  <c r="B39" i="24"/>
  <c r="D38" i="24"/>
  <c r="B38" i="24"/>
  <c r="D37" i="24"/>
  <c r="D36" i="24"/>
  <c r="D35" i="24"/>
  <c r="D34" i="24"/>
  <c r="D33" i="24"/>
  <c r="D32" i="24"/>
  <c r="D31" i="24"/>
  <c r="D30" i="24"/>
  <c r="D29" i="24"/>
  <c r="D28" i="24"/>
  <c r="D27" i="24"/>
  <c r="D26" i="24"/>
  <c r="C26" i="24"/>
  <c r="F26" i="24" s="1"/>
  <c r="D25" i="24"/>
  <c r="D24" i="24"/>
  <c r="D23" i="24"/>
  <c r="D22" i="24"/>
  <c r="C22" i="24"/>
  <c r="F22" i="24" s="1"/>
  <c r="F21" i="24"/>
  <c r="D21" i="24"/>
  <c r="C21" i="24"/>
  <c r="E21" i="24" s="1"/>
  <c r="G21" i="24" s="1"/>
  <c r="D20" i="24"/>
  <c r="C20" i="24"/>
  <c r="F20" i="24" s="1"/>
  <c r="F19" i="24"/>
  <c r="D19" i="24"/>
  <c r="E19" i="24" s="1"/>
  <c r="G19" i="24" s="1"/>
  <c r="C19" i="24"/>
  <c r="G18" i="24"/>
  <c r="E18" i="24"/>
  <c r="D18" i="24"/>
  <c r="C18" i="24"/>
  <c r="F18" i="24" s="1"/>
  <c r="F17" i="24"/>
  <c r="D17" i="24"/>
  <c r="C17" i="24"/>
  <c r="E16" i="24"/>
  <c r="G16" i="24" s="1"/>
  <c r="D16" i="24"/>
  <c r="C16" i="24"/>
  <c r="F16" i="24" s="1"/>
  <c r="F15" i="24"/>
  <c r="D15" i="24"/>
  <c r="E15" i="24" s="1"/>
  <c r="G15" i="24" s="1"/>
  <c r="C15" i="24"/>
  <c r="F14" i="24"/>
  <c r="E14" i="24"/>
  <c r="G14" i="24" s="1"/>
  <c r="D14" i="24"/>
  <c r="C14" i="24"/>
  <c r="F13" i="24"/>
  <c r="D13" i="24"/>
  <c r="C13" i="24"/>
  <c r="B13" i="24"/>
  <c r="D12" i="24"/>
  <c r="E12" i="24" s="1"/>
  <c r="G12" i="24" s="1"/>
  <c r="C12" i="24"/>
  <c r="B12" i="24"/>
  <c r="E9" i="24"/>
  <c r="E8" i="24"/>
  <c r="C8" i="24"/>
  <c r="E7" i="24"/>
  <c r="C7" i="24"/>
  <c r="E6" i="24"/>
  <c r="C6" i="24"/>
  <c r="E5" i="24"/>
  <c r="D5" i="24"/>
  <c r="C5" i="24"/>
  <c r="E4" i="24"/>
  <c r="C4" i="24"/>
  <c r="D4" i="24" s="1"/>
  <c r="C3" i="24"/>
  <c r="D31" i="25" l="1"/>
  <c r="D34" i="25" s="1"/>
  <c r="D80" i="25"/>
  <c r="B37" i="25"/>
  <c r="C79" i="25"/>
  <c r="B40" i="25"/>
  <c r="A37" i="25"/>
  <c r="C37" i="25"/>
  <c r="D43" i="25"/>
  <c r="C80" i="25"/>
  <c r="D3" i="25"/>
  <c r="C37" i="24"/>
  <c r="C33" i="24"/>
  <c r="C35" i="24"/>
  <c r="C31" i="24"/>
  <c r="C29" i="24"/>
  <c r="C25" i="24"/>
  <c r="C27" i="24"/>
  <c r="C23" i="24"/>
  <c r="F12" i="24"/>
  <c r="E22" i="24"/>
  <c r="G22" i="24" s="1"/>
  <c r="C24" i="24"/>
  <c r="E26" i="24"/>
  <c r="G26" i="24" s="1"/>
  <c r="C28" i="24"/>
  <c r="C32" i="24"/>
  <c r="C36" i="24"/>
  <c r="E17" i="24"/>
  <c r="G17" i="24" s="1"/>
  <c r="E20" i="24"/>
  <c r="G20" i="24" s="1"/>
  <c r="D6" i="24"/>
  <c r="E13" i="24"/>
  <c r="G13" i="24" s="1"/>
  <c r="C30" i="24"/>
  <c r="C34" i="24"/>
  <c r="G75" i="22"/>
  <c r="F72" i="22"/>
  <c r="F71" i="22"/>
  <c r="D74" i="23"/>
  <c r="B74" i="23"/>
  <c r="D73" i="23"/>
  <c r="B73" i="23"/>
  <c r="D72" i="23"/>
  <c r="B72" i="23"/>
  <c r="D71" i="23"/>
  <c r="B71" i="23"/>
  <c r="D70" i="23"/>
  <c r="B70" i="23"/>
  <c r="D69" i="23"/>
  <c r="B69" i="23"/>
  <c r="D68" i="23"/>
  <c r="B68" i="23"/>
  <c r="D67" i="23"/>
  <c r="B67" i="23"/>
  <c r="D66" i="23"/>
  <c r="B66" i="23"/>
  <c r="D65" i="23"/>
  <c r="B65" i="23"/>
  <c r="D64" i="23"/>
  <c r="B64" i="23"/>
  <c r="D63" i="23"/>
  <c r="B63" i="23"/>
  <c r="D62" i="23"/>
  <c r="B62" i="23"/>
  <c r="D61" i="23"/>
  <c r="B61" i="23"/>
  <c r="D60" i="23"/>
  <c r="B60" i="23"/>
  <c r="D59" i="23"/>
  <c r="B59" i="23"/>
  <c r="D58" i="23"/>
  <c r="B58" i="23"/>
  <c r="D57" i="23"/>
  <c r="B57" i="23"/>
  <c r="D56" i="23"/>
  <c r="B56" i="23"/>
  <c r="D55" i="23"/>
  <c r="B55" i="23"/>
  <c r="D54" i="23"/>
  <c r="B54" i="23"/>
  <c r="D53" i="23"/>
  <c r="B53" i="23"/>
  <c r="D52" i="23"/>
  <c r="B52" i="23"/>
  <c r="D51" i="23"/>
  <c r="B51" i="23"/>
  <c r="D50" i="23"/>
  <c r="B50" i="23"/>
  <c r="D49" i="23"/>
  <c r="B49" i="23"/>
  <c r="D48" i="23"/>
  <c r="B48" i="23"/>
  <c r="D47" i="23"/>
  <c r="B47" i="23"/>
  <c r="D46" i="23"/>
  <c r="B46" i="23"/>
  <c r="D45" i="23"/>
  <c r="B45" i="23"/>
  <c r="D44" i="23"/>
  <c r="B44" i="23"/>
  <c r="D43" i="23"/>
  <c r="D42" i="23"/>
  <c r="B42" i="23"/>
  <c r="D41" i="23"/>
  <c r="B41" i="23"/>
  <c r="D40" i="23"/>
  <c r="B40" i="23"/>
  <c r="D39" i="23"/>
  <c r="B39" i="23"/>
  <c r="D38" i="23"/>
  <c r="B38" i="23"/>
  <c r="D37" i="23"/>
  <c r="B37" i="23"/>
  <c r="D36" i="23"/>
  <c r="D35" i="23"/>
  <c r="D34" i="23"/>
  <c r="D33" i="23"/>
  <c r="D32" i="23"/>
  <c r="D31" i="23"/>
  <c r="D30" i="23"/>
  <c r="D29" i="23"/>
  <c r="D28" i="23"/>
  <c r="C28" i="23"/>
  <c r="F28" i="23" s="1"/>
  <c r="D27" i="23"/>
  <c r="E26" i="23"/>
  <c r="G26" i="23" s="1"/>
  <c r="D26" i="23"/>
  <c r="C26" i="23"/>
  <c r="F26" i="23" s="1"/>
  <c r="D25" i="23"/>
  <c r="D24" i="23"/>
  <c r="C24" i="23"/>
  <c r="F24" i="23" s="1"/>
  <c r="D23" i="23"/>
  <c r="E22" i="23"/>
  <c r="G22" i="23" s="1"/>
  <c r="D22" i="23"/>
  <c r="C22" i="23"/>
  <c r="F22" i="23" s="1"/>
  <c r="F21" i="23"/>
  <c r="D21" i="23"/>
  <c r="E21" i="23" s="1"/>
  <c r="G21" i="23" s="1"/>
  <c r="C21" i="23"/>
  <c r="D20" i="23"/>
  <c r="C20" i="23"/>
  <c r="F20" i="23" s="1"/>
  <c r="F19" i="23"/>
  <c r="D19" i="23"/>
  <c r="C19" i="23"/>
  <c r="E19" i="23" s="1"/>
  <c r="G19" i="23" s="1"/>
  <c r="D18" i="23"/>
  <c r="C18" i="23"/>
  <c r="F18" i="23" s="1"/>
  <c r="F17" i="23"/>
  <c r="D17" i="23"/>
  <c r="E17" i="23" s="1"/>
  <c r="G17" i="23" s="1"/>
  <c r="C17" i="23"/>
  <c r="G16" i="23"/>
  <c r="E16" i="23"/>
  <c r="D16" i="23"/>
  <c r="C16" i="23"/>
  <c r="F16" i="23" s="1"/>
  <c r="F15" i="23"/>
  <c r="D15" i="23"/>
  <c r="C15" i="23"/>
  <c r="E15" i="23" s="1"/>
  <c r="G15" i="23" s="1"/>
  <c r="E14" i="23"/>
  <c r="G14" i="23" s="1"/>
  <c r="D14" i="23"/>
  <c r="C14" i="23"/>
  <c r="F14" i="23" s="1"/>
  <c r="F13" i="23"/>
  <c r="D13" i="23"/>
  <c r="E13" i="23" s="1"/>
  <c r="G13" i="23" s="1"/>
  <c r="C13" i="23"/>
  <c r="B13" i="23"/>
  <c r="D12" i="23"/>
  <c r="C12" i="23"/>
  <c r="F12" i="23" s="1"/>
  <c r="B12" i="23"/>
  <c r="E9" i="23"/>
  <c r="E8" i="23"/>
  <c r="C8" i="23"/>
  <c r="E7" i="23"/>
  <c r="C7" i="23"/>
  <c r="E6" i="23"/>
  <c r="C6" i="23"/>
  <c r="E5" i="23"/>
  <c r="D5" i="23"/>
  <c r="C32" i="23" s="1"/>
  <c r="C5" i="23"/>
  <c r="E4" i="23"/>
  <c r="C4" i="23"/>
  <c r="D4" i="23" s="1"/>
  <c r="C3" i="23"/>
  <c r="D38" i="25" l="1"/>
  <c r="D39" i="25"/>
  <c r="E37" i="25"/>
  <c r="D42" i="25"/>
  <c r="C40" i="25"/>
  <c r="F30" i="24"/>
  <c r="E30" i="24"/>
  <c r="G30" i="24" s="1"/>
  <c r="E29" i="24"/>
  <c r="G29" i="24" s="1"/>
  <c r="F29" i="24"/>
  <c r="E23" i="24"/>
  <c r="G23" i="24" s="1"/>
  <c r="F23" i="24"/>
  <c r="E31" i="24"/>
  <c r="G31" i="24" s="1"/>
  <c r="F31" i="24"/>
  <c r="F36" i="24"/>
  <c r="E36" i="24"/>
  <c r="G36" i="24" s="1"/>
  <c r="F24" i="24"/>
  <c r="E24" i="24"/>
  <c r="G24" i="24" s="1"/>
  <c r="E27" i="24"/>
  <c r="G27" i="24" s="1"/>
  <c r="F27" i="24"/>
  <c r="E35" i="24"/>
  <c r="G35" i="24" s="1"/>
  <c r="F35" i="24"/>
  <c r="F28" i="24"/>
  <c r="E28" i="24"/>
  <c r="G28" i="24" s="1"/>
  <c r="F34" i="24"/>
  <c r="E34" i="24"/>
  <c r="G34" i="24" s="1"/>
  <c r="C44" i="24"/>
  <c r="C41" i="24"/>
  <c r="C39" i="24"/>
  <c r="C43" i="24"/>
  <c r="C42" i="24"/>
  <c r="C40" i="24"/>
  <c r="C38" i="24"/>
  <c r="D7" i="24"/>
  <c r="F32" i="24"/>
  <c r="E32" i="24"/>
  <c r="G32" i="24" s="1"/>
  <c r="E25" i="24"/>
  <c r="G25" i="24" s="1"/>
  <c r="F25" i="24"/>
  <c r="E33" i="24"/>
  <c r="G33" i="24" s="1"/>
  <c r="F33" i="24"/>
  <c r="E37" i="24"/>
  <c r="G37" i="24" s="1"/>
  <c r="F37" i="24"/>
  <c r="F32" i="23"/>
  <c r="E32" i="23"/>
  <c r="G32" i="23" s="1"/>
  <c r="C27" i="23"/>
  <c r="C23" i="23"/>
  <c r="C29" i="23"/>
  <c r="C25" i="23"/>
  <c r="E20" i="23"/>
  <c r="G20" i="23" s="1"/>
  <c r="C35" i="23"/>
  <c r="C31" i="23"/>
  <c r="C37" i="23"/>
  <c r="C33" i="23"/>
  <c r="E18" i="23"/>
  <c r="G18" i="23" s="1"/>
  <c r="E24" i="23"/>
  <c r="G24" i="23" s="1"/>
  <c r="D6" i="23"/>
  <c r="E28" i="23"/>
  <c r="G28" i="23" s="1"/>
  <c r="C30" i="23"/>
  <c r="C34" i="23"/>
  <c r="E12" i="23"/>
  <c r="G12" i="23" s="1"/>
  <c r="C36" i="23"/>
  <c r="C41" i="25" l="1"/>
  <c r="B41" i="25" s="1"/>
  <c r="B44" i="25" s="1"/>
  <c r="E42" i="25"/>
  <c r="D40" i="25"/>
  <c r="E38" i="24"/>
  <c r="G38" i="24" s="1"/>
  <c r="F38" i="24"/>
  <c r="E39" i="24"/>
  <c r="G39" i="24" s="1"/>
  <c r="F39" i="24"/>
  <c r="F43" i="24"/>
  <c r="E43" i="24"/>
  <c r="G43" i="24" s="1"/>
  <c r="E41" i="24"/>
  <c r="G41" i="24" s="1"/>
  <c r="F41" i="24"/>
  <c r="C52" i="24"/>
  <c r="C50" i="24"/>
  <c r="C48" i="24"/>
  <c r="C46" i="24"/>
  <c r="C51" i="24"/>
  <c r="C49" i="24"/>
  <c r="C47" i="24"/>
  <c r="C45" i="24"/>
  <c r="D8" i="24"/>
  <c r="E40" i="24"/>
  <c r="G40" i="24" s="1"/>
  <c r="F40" i="24"/>
  <c r="E42" i="24"/>
  <c r="G42" i="24" s="1"/>
  <c r="F42" i="24"/>
  <c r="F44" i="24"/>
  <c r="E44" i="24"/>
  <c r="G44" i="24" s="1"/>
  <c r="F30" i="23"/>
  <c r="E30" i="23"/>
  <c r="G30" i="23" s="1"/>
  <c r="E23" i="23"/>
  <c r="G23" i="23" s="1"/>
  <c r="F23" i="23"/>
  <c r="E33" i="23"/>
  <c r="G33" i="23" s="1"/>
  <c r="F33" i="23"/>
  <c r="E27" i="23"/>
  <c r="G27" i="23" s="1"/>
  <c r="F27" i="23"/>
  <c r="F37" i="23"/>
  <c r="E37" i="23"/>
  <c r="G37" i="23" s="1"/>
  <c r="E25" i="23"/>
  <c r="G25" i="23" s="1"/>
  <c r="F25" i="23"/>
  <c r="F36" i="23"/>
  <c r="E36" i="23"/>
  <c r="G36" i="23" s="1"/>
  <c r="F35" i="23"/>
  <c r="E35" i="23"/>
  <c r="G35" i="23" s="1"/>
  <c r="C41" i="23"/>
  <c r="C39" i="23"/>
  <c r="C43" i="23"/>
  <c r="C38" i="23"/>
  <c r="C40" i="23"/>
  <c r="D7" i="23"/>
  <c r="C42" i="23"/>
  <c r="F34" i="23"/>
  <c r="E34" i="23"/>
  <c r="G34" i="23" s="1"/>
  <c r="E31" i="23"/>
  <c r="G31" i="23" s="1"/>
  <c r="F31" i="23"/>
  <c r="E29" i="23"/>
  <c r="G29" i="23" s="1"/>
  <c r="F29" i="23"/>
  <c r="B47" i="25" l="1"/>
  <c r="C47" i="25" s="1"/>
  <c r="B48" i="25"/>
  <c r="C48" i="25" s="1"/>
  <c r="B46" i="25"/>
  <c r="B49" i="25"/>
  <c r="C49" i="25" s="1"/>
  <c r="C44" i="25"/>
  <c r="E45" i="24"/>
  <c r="G45" i="24" s="1"/>
  <c r="F45" i="24"/>
  <c r="E47" i="24"/>
  <c r="G47" i="24" s="1"/>
  <c r="F47" i="24"/>
  <c r="F48" i="24"/>
  <c r="E48" i="24"/>
  <c r="G48" i="24" s="1"/>
  <c r="F46" i="24"/>
  <c r="E46" i="24"/>
  <c r="G46" i="24" s="1"/>
  <c r="E49" i="24"/>
  <c r="G49" i="24" s="1"/>
  <c r="F49" i="24"/>
  <c r="F50" i="24"/>
  <c r="E50" i="24"/>
  <c r="G50" i="24" s="1"/>
  <c r="C74" i="24"/>
  <c r="C72" i="24"/>
  <c r="C70" i="24"/>
  <c r="C68" i="24"/>
  <c r="C66" i="24"/>
  <c r="C64" i="24"/>
  <c r="C62" i="24"/>
  <c r="C60" i="24"/>
  <c r="C58" i="24"/>
  <c r="C56" i="24"/>
  <c r="C54" i="24"/>
  <c r="C73" i="24"/>
  <c r="C71" i="24"/>
  <c r="C69" i="24"/>
  <c r="C67" i="24"/>
  <c r="C65" i="24"/>
  <c r="C63" i="24"/>
  <c r="C61" i="24"/>
  <c r="C59" i="24"/>
  <c r="C57" i="24"/>
  <c r="C55" i="24"/>
  <c r="C53" i="24"/>
  <c r="E51" i="24"/>
  <c r="G51" i="24" s="1"/>
  <c r="F51" i="24"/>
  <c r="F52" i="24"/>
  <c r="E52" i="24"/>
  <c r="G52" i="24" s="1"/>
  <c r="F42" i="23"/>
  <c r="E42" i="23"/>
  <c r="G42" i="23" s="1"/>
  <c r="E43" i="23"/>
  <c r="G43" i="23" s="1"/>
  <c r="F43" i="23"/>
  <c r="F39" i="23"/>
  <c r="E39" i="23"/>
  <c r="G39" i="23" s="1"/>
  <c r="F38" i="23"/>
  <c r="E38" i="23"/>
  <c r="G38" i="23" s="1"/>
  <c r="C52" i="23"/>
  <c r="C50" i="23"/>
  <c r="C48" i="23"/>
  <c r="C46" i="23"/>
  <c r="C44" i="23"/>
  <c r="C51" i="23"/>
  <c r="C49" i="23"/>
  <c r="C47" i="23"/>
  <c r="C45" i="23"/>
  <c r="D8" i="23"/>
  <c r="F40" i="23"/>
  <c r="E40" i="23"/>
  <c r="G40" i="23" s="1"/>
  <c r="F41" i="23"/>
  <c r="E41" i="23"/>
  <c r="G41" i="23" s="1"/>
  <c r="D44" i="25" l="1"/>
  <c r="C46" i="25"/>
  <c r="C50" i="25" s="1"/>
  <c r="C51" i="25" s="1"/>
  <c r="B50" i="25"/>
  <c r="E73" i="24"/>
  <c r="G73" i="24" s="1"/>
  <c r="F73" i="24"/>
  <c r="F68" i="24"/>
  <c r="E68" i="24"/>
  <c r="G68" i="24" s="1"/>
  <c r="E59" i="24"/>
  <c r="G59" i="24" s="1"/>
  <c r="F59" i="24"/>
  <c r="E67" i="24"/>
  <c r="G67" i="24" s="1"/>
  <c r="F67" i="24"/>
  <c r="F54" i="24"/>
  <c r="E54" i="24"/>
  <c r="G54" i="24" s="1"/>
  <c r="F62" i="24"/>
  <c r="E62" i="24"/>
  <c r="G62" i="24" s="1"/>
  <c r="F70" i="24"/>
  <c r="E70" i="24"/>
  <c r="G70" i="24" s="1"/>
  <c r="E65" i="24"/>
  <c r="G65" i="24" s="1"/>
  <c r="F65" i="24"/>
  <c r="E53" i="24"/>
  <c r="G53" i="24" s="1"/>
  <c r="F53" i="24"/>
  <c r="E69" i="24"/>
  <c r="G69" i="24" s="1"/>
  <c r="F69" i="24"/>
  <c r="F72" i="24"/>
  <c r="E72" i="24"/>
  <c r="G72" i="24" s="1"/>
  <c r="E57" i="24"/>
  <c r="G57" i="24" s="1"/>
  <c r="F57" i="24"/>
  <c r="F60" i="24"/>
  <c r="E60" i="24"/>
  <c r="G60" i="24" s="1"/>
  <c r="E61" i="24"/>
  <c r="G61" i="24" s="1"/>
  <c r="F61" i="24"/>
  <c r="F56" i="24"/>
  <c r="E56" i="24"/>
  <c r="G56" i="24" s="1"/>
  <c r="F64" i="24"/>
  <c r="E64" i="24"/>
  <c r="G64" i="24" s="1"/>
  <c r="E55" i="24"/>
  <c r="G55" i="24" s="1"/>
  <c r="F55" i="24"/>
  <c r="E63" i="24"/>
  <c r="G63" i="24" s="1"/>
  <c r="F63" i="24"/>
  <c r="E71" i="24"/>
  <c r="G71" i="24" s="1"/>
  <c r="F71" i="24"/>
  <c r="F58" i="24"/>
  <c r="E58" i="24"/>
  <c r="G58" i="24" s="1"/>
  <c r="F66" i="24"/>
  <c r="E66" i="24"/>
  <c r="G66" i="24" s="1"/>
  <c r="F74" i="24"/>
  <c r="E74" i="24"/>
  <c r="G74" i="24" s="1"/>
  <c r="E47" i="23"/>
  <c r="G47" i="23" s="1"/>
  <c r="F47" i="23"/>
  <c r="E49" i="23"/>
  <c r="G49" i="23" s="1"/>
  <c r="F49" i="23"/>
  <c r="F48" i="23"/>
  <c r="E48" i="23"/>
  <c r="G48" i="23" s="1"/>
  <c r="F50" i="23"/>
  <c r="E50" i="23"/>
  <c r="G50" i="23" s="1"/>
  <c r="F46" i="23"/>
  <c r="E46" i="23"/>
  <c r="G46" i="23" s="1"/>
  <c r="C74" i="23"/>
  <c r="C72" i="23"/>
  <c r="C70" i="23"/>
  <c r="C68" i="23"/>
  <c r="C66" i="23"/>
  <c r="C64" i="23"/>
  <c r="C62" i="23"/>
  <c r="C60" i="23"/>
  <c r="C58" i="23"/>
  <c r="C56" i="23"/>
  <c r="C54" i="23"/>
  <c r="C73" i="23"/>
  <c r="C71" i="23"/>
  <c r="C69" i="23"/>
  <c r="C67" i="23"/>
  <c r="C65" i="23"/>
  <c r="C63" i="23"/>
  <c r="C61" i="23"/>
  <c r="C59" i="23"/>
  <c r="C57" i="23"/>
  <c r="C55" i="23"/>
  <c r="C53" i="23"/>
  <c r="E51" i="23"/>
  <c r="G51" i="23" s="1"/>
  <c r="F51" i="23"/>
  <c r="E45" i="23"/>
  <c r="G45" i="23" s="1"/>
  <c r="F45" i="23"/>
  <c r="F44" i="23"/>
  <c r="E44" i="23"/>
  <c r="G44" i="23" s="1"/>
  <c r="F52" i="23"/>
  <c r="E52" i="23"/>
  <c r="G52" i="23" s="1"/>
  <c r="D51" i="25" l="1"/>
  <c r="C55" i="25"/>
  <c r="B81" i="25"/>
  <c r="B51" i="25"/>
  <c r="D50" i="25"/>
  <c r="C87" i="25"/>
  <c r="E69" i="23"/>
  <c r="G69" i="23" s="1"/>
  <c r="F69" i="23"/>
  <c r="F64" i="23"/>
  <c r="E64" i="23"/>
  <c r="G64" i="23" s="1"/>
  <c r="E55" i="23"/>
  <c r="G55" i="23" s="1"/>
  <c r="F55" i="23"/>
  <c r="E63" i="23"/>
  <c r="G63" i="23" s="1"/>
  <c r="F63" i="23"/>
  <c r="E71" i="23"/>
  <c r="G71" i="23" s="1"/>
  <c r="F71" i="23"/>
  <c r="F58" i="23"/>
  <c r="E58" i="23"/>
  <c r="G58" i="23" s="1"/>
  <c r="F66" i="23"/>
  <c r="E66" i="23"/>
  <c r="G66" i="23" s="1"/>
  <c r="F74" i="23"/>
  <c r="E74" i="23"/>
  <c r="G74" i="23" s="1"/>
  <c r="E61" i="23"/>
  <c r="G61" i="23" s="1"/>
  <c r="F61" i="23"/>
  <c r="F72" i="23"/>
  <c r="E72" i="23"/>
  <c r="G72" i="23" s="1"/>
  <c r="E57" i="23"/>
  <c r="G57" i="23" s="1"/>
  <c r="F57" i="23"/>
  <c r="E73" i="23"/>
  <c r="G73" i="23" s="1"/>
  <c r="F73" i="23"/>
  <c r="F68" i="23"/>
  <c r="E68" i="23"/>
  <c r="G68" i="23" s="1"/>
  <c r="E53" i="23"/>
  <c r="G53" i="23" s="1"/>
  <c r="F53" i="23"/>
  <c r="F56" i="23"/>
  <c r="E56" i="23"/>
  <c r="G56" i="23" s="1"/>
  <c r="E65" i="23"/>
  <c r="G65" i="23" s="1"/>
  <c r="F65" i="23"/>
  <c r="F60" i="23"/>
  <c r="E60" i="23"/>
  <c r="G60" i="23" s="1"/>
  <c r="E59" i="23"/>
  <c r="G59" i="23" s="1"/>
  <c r="F59" i="23"/>
  <c r="E67" i="23"/>
  <c r="G67" i="23" s="1"/>
  <c r="F67" i="23"/>
  <c r="F54" i="23"/>
  <c r="E54" i="23"/>
  <c r="G54" i="23" s="1"/>
  <c r="F62" i="23"/>
  <c r="E62" i="23"/>
  <c r="G62" i="23" s="1"/>
  <c r="F70" i="23"/>
  <c r="E70" i="23"/>
  <c r="G70" i="23" s="1"/>
  <c r="C89" i="25" l="1"/>
  <c r="C91" i="25" s="1"/>
  <c r="A91" i="25" s="1"/>
  <c r="B87" i="25"/>
  <c r="B89" i="25" s="1"/>
  <c r="B91" i="25" s="1"/>
  <c r="F55" i="25"/>
  <c r="A56" i="25" s="1"/>
  <c r="D81" i="25"/>
  <c r="C81" i="25"/>
  <c r="E81" i="25" s="1"/>
  <c r="E100" i="22"/>
  <c r="B100" i="22"/>
  <c r="C99" i="22"/>
  <c r="C96" i="22"/>
  <c r="C90" i="22"/>
  <c r="B90" i="22"/>
  <c r="C88" i="22"/>
  <c r="B88" i="22"/>
  <c r="B80" i="22"/>
  <c r="B74" i="22"/>
  <c r="G73" i="22"/>
  <c r="G71" i="22"/>
  <c r="H71" i="22" s="1"/>
  <c r="C45" i="22"/>
  <c r="C43" i="22"/>
  <c r="B43" i="22"/>
  <c r="B42" i="22"/>
  <c r="B39" i="22"/>
  <c r="B38" i="22"/>
  <c r="B34" i="22"/>
  <c r="D33" i="22"/>
  <c r="C33" i="22"/>
  <c r="D32" i="22"/>
  <c r="C32" i="22"/>
  <c r="C31" i="22"/>
  <c r="D30" i="22"/>
  <c r="C30" i="22"/>
  <c r="D29" i="22"/>
  <c r="C29" i="22"/>
  <c r="D28" i="22"/>
  <c r="C28" i="22"/>
  <c r="D27" i="22"/>
  <c r="C27" i="22"/>
  <c r="D26" i="22"/>
  <c r="C26" i="22"/>
  <c r="D25" i="22"/>
  <c r="C25" i="22"/>
  <c r="D24" i="22"/>
  <c r="C24" i="22"/>
  <c r="D23" i="22"/>
  <c r="C23" i="22"/>
  <c r="D22" i="22"/>
  <c r="C22" i="22"/>
  <c r="D21" i="22"/>
  <c r="C21" i="22"/>
  <c r="D20" i="22"/>
  <c r="C20" i="22"/>
  <c r="D19" i="22"/>
  <c r="C19" i="22"/>
  <c r="D18" i="22"/>
  <c r="C18" i="22"/>
  <c r="D17" i="22"/>
  <c r="C17" i="22"/>
  <c r="D16" i="22"/>
  <c r="C16" i="22"/>
  <c r="D15" i="22"/>
  <c r="C15" i="22"/>
  <c r="D14" i="22"/>
  <c r="C14" i="22"/>
  <c r="C34" i="22" s="1"/>
  <c r="B11" i="22"/>
  <c r="B79" i="22" s="1"/>
  <c r="D10" i="22"/>
  <c r="C10" i="22"/>
  <c r="D9" i="22"/>
  <c r="C9" i="22"/>
  <c r="D8" i="22"/>
  <c r="C8" i="22"/>
  <c r="D7" i="22"/>
  <c r="C7" i="22"/>
  <c r="D6" i="22"/>
  <c r="C6" i="22"/>
  <c r="D5" i="22"/>
  <c r="C5" i="22"/>
  <c r="C4" i="22"/>
  <c r="C11" i="22" s="1"/>
  <c r="D4" i="22" s="1"/>
  <c r="C3" i="22"/>
  <c r="F56" i="25" l="1"/>
  <c r="C56" i="25" s="1"/>
  <c r="C58" i="25" s="1"/>
  <c r="B37" i="22"/>
  <c r="D31" i="22"/>
  <c r="D3" i="22"/>
  <c r="C37" i="22"/>
  <c r="C79" i="22"/>
  <c r="B40" i="22"/>
  <c r="A37" i="22"/>
  <c r="D34" i="22"/>
  <c r="D80" i="22"/>
  <c r="C80" i="22"/>
  <c r="E97" i="22"/>
  <c r="B12" i="21"/>
  <c r="D74" i="21"/>
  <c r="D73" i="21"/>
  <c r="D72" i="21"/>
  <c r="D71" i="21"/>
  <c r="D70" i="21"/>
  <c r="D69" i="21"/>
  <c r="D68" i="21"/>
  <c r="D67" i="21"/>
  <c r="D66" i="21"/>
  <c r="D65" i="21"/>
  <c r="D64" i="21"/>
  <c r="D63" i="21"/>
  <c r="D62" i="21"/>
  <c r="D61" i="21"/>
  <c r="D60" i="21"/>
  <c r="D59" i="21"/>
  <c r="D58" i="21"/>
  <c r="D57" i="21"/>
  <c r="D56" i="21"/>
  <c r="D55" i="21"/>
  <c r="D54" i="21"/>
  <c r="D53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40" i="21"/>
  <c r="D39" i="21"/>
  <c r="D38" i="21"/>
  <c r="D37" i="21"/>
  <c r="D36" i="21"/>
  <c r="D35" i="21"/>
  <c r="D34" i="21"/>
  <c r="D33" i="21"/>
  <c r="D32" i="21"/>
  <c r="D31" i="21"/>
  <c r="D30" i="21"/>
  <c r="D29" i="21"/>
  <c r="D28" i="21"/>
  <c r="D27" i="21"/>
  <c r="D26" i="21"/>
  <c r="D25" i="21"/>
  <c r="D24" i="21"/>
  <c r="D23" i="21"/>
  <c r="D22" i="21"/>
  <c r="D21" i="21"/>
  <c r="D20" i="21"/>
  <c r="D19" i="21"/>
  <c r="D18" i="21"/>
  <c r="D17" i="21"/>
  <c r="D16" i="21"/>
  <c r="D15" i="21"/>
  <c r="D14" i="21"/>
  <c r="D13" i="21"/>
  <c r="D12" i="21"/>
  <c r="G12" i="21"/>
  <c r="C3" i="21"/>
  <c r="G74" i="21"/>
  <c r="F74" i="21"/>
  <c r="B74" i="21"/>
  <c r="G73" i="21"/>
  <c r="F73" i="21"/>
  <c r="B73" i="21"/>
  <c r="G72" i="21"/>
  <c r="F72" i="21"/>
  <c r="B72" i="21"/>
  <c r="G71" i="21"/>
  <c r="F71" i="21"/>
  <c r="B71" i="21"/>
  <c r="G70" i="21"/>
  <c r="F70" i="21"/>
  <c r="B70" i="21"/>
  <c r="G69" i="21"/>
  <c r="F69" i="21"/>
  <c r="B69" i="21"/>
  <c r="G68" i="21"/>
  <c r="F68" i="21"/>
  <c r="B68" i="21"/>
  <c r="G67" i="21"/>
  <c r="F67" i="21"/>
  <c r="B67" i="21"/>
  <c r="G66" i="21"/>
  <c r="F66" i="21"/>
  <c r="B66" i="21"/>
  <c r="G65" i="21"/>
  <c r="F65" i="21"/>
  <c r="B65" i="21"/>
  <c r="G64" i="21"/>
  <c r="F64" i="21"/>
  <c r="B64" i="21"/>
  <c r="G63" i="21"/>
  <c r="F63" i="21"/>
  <c r="B63" i="21"/>
  <c r="G62" i="21"/>
  <c r="F62" i="21"/>
  <c r="B62" i="21"/>
  <c r="G61" i="21"/>
  <c r="F61" i="21"/>
  <c r="B61" i="21"/>
  <c r="G60" i="21"/>
  <c r="F60" i="21"/>
  <c r="B60" i="21"/>
  <c r="G59" i="21"/>
  <c r="F59" i="21"/>
  <c r="B59" i="21"/>
  <c r="G58" i="21"/>
  <c r="F58" i="21"/>
  <c r="B58" i="21"/>
  <c r="G57" i="21"/>
  <c r="F57" i="21"/>
  <c r="B57" i="21"/>
  <c r="G56" i="21"/>
  <c r="F56" i="21"/>
  <c r="B56" i="21"/>
  <c r="G55" i="21"/>
  <c r="F55" i="21"/>
  <c r="B55" i="21"/>
  <c r="G54" i="21"/>
  <c r="F54" i="21"/>
  <c r="B54" i="21"/>
  <c r="G53" i="21"/>
  <c r="F53" i="21"/>
  <c r="B53" i="21"/>
  <c r="G52" i="21"/>
  <c r="F52" i="21"/>
  <c r="B52" i="21"/>
  <c r="G51" i="21"/>
  <c r="F51" i="21"/>
  <c r="B51" i="21"/>
  <c r="G50" i="21"/>
  <c r="F50" i="21"/>
  <c r="B50" i="21"/>
  <c r="G49" i="21"/>
  <c r="F49" i="21"/>
  <c r="B49" i="21"/>
  <c r="G48" i="21"/>
  <c r="F48" i="21"/>
  <c r="B48" i="21"/>
  <c r="G47" i="21"/>
  <c r="F47" i="21"/>
  <c r="B47" i="21"/>
  <c r="G46" i="21"/>
  <c r="F46" i="21"/>
  <c r="B46" i="21"/>
  <c r="G45" i="21"/>
  <c r="F45" i="21"/>
  <c r="B45" i="21"/>
  <c r="G44" i="21"/>
  <c r="F44" i="21"/>
  <c r="B44" i="21"/>
  <c r="G43" i="21"/>
  <c r="F43" i="21"/>
  <c r="G42" i="21"/>
  <c r="F42" i="21"/>
  <c r="B42" i="21"/>
  <c r="G41" i="21"/>
  <c r="F41" i="21"/>
  <c r="B41" i="21"/>
  <c r="G40" i="21"/>
  <c r="F40" i="21"/>
  <c r="B40" i="21"/>
  <c r="G39" i="21"/>
  <c r="F39" i="21"/>
  <c r="B39" i="21"/>
  <c r="G38" i="21"/>
  <c r="F38" i="21"/>
  <c r="B38" i="21"/>
  <c r="G37" i="21"/>
  <c r="F37" i="21"/>
  <c r="B37" i="21"/>
  <c r="G36" i="21"/>
  <c r="F36" i="21"/>
  <c r="G35" i="21"/>
  <c r="F35" i="21"/>
  <c r="G34" i="21"/>
  <c r="F34" i="21"/>
  <c r="G33" i="21"/>
  <c r="F33" i="21"/>
  <c r="G32" i="21"/>
  <c r="F32" i="21"/>
  <c r="G31" i="21"/>
  <c r="F31" i="21"/>
  <c r="G30" i="21"/>
  <c r="F30" i="21"/>
  <c r="G29" i="21"/>
  <c r="F29" i="21"/>
  <c r="G28" i="21"/>
  <c r="F28" i="21"/>
  <c r="G27" i="21"/>
  <c r="F27" i="21"/>
  <c r="G26" i="21"/>
  <c r="F26" i="21"/>
  <c r="G25" i="21"/>
  <c r="F25" i="21"/>
  <c r="G24" i="21"/>
  <c r="F24" i="21"/>
  <c r="G23" i="21"/>
  <c r="F23" i="21"/>
  <c r="G22" i="21"/>
  <c r="F22" i="21"/>
  <c r="G21" i="21"/>
  <c r="F21" i="21"/>
  <c r="F20" i="21"/>
  <c r="F19" i="21"/>
  <c r="C19" i="21"/>
  <c r="H19" i="21" s="1"/>
  <c r="F18" i="21"/>
  <c r="C18" i="21"/>
  <c r="H18" i="21" s="1"/>
  <c r="G17" i="21"/>
  <c r="F17" i="21"/>
  <c r="C17" i="21"/>
  <c r="H17" i="21" s="1"/>
  <c r="G16" i="21"/>
  <c r="F16" i="21"/>
  <c r="C16" i="21"/>
  <c r="H16" i="21" s="1"/>
  <c r="G15" i="21"/>
  <c r="F15" i="21"/>
  <c r="C15" i="21"/>
  <c r="E15" i="21" s="1"/>
  <c r="I15" i="21" s="1"/>
  <c r="G14" i="21"/>
  <c r="F14" i="21"/>
  <c r="C14" i="21"/>
  <c r="E14" i="21" s="1"/>
  <c r="I14" i="21" s="1"/>
  <c r="G13" i="21"/>
  <c r="F13" i="21"/>
  <c r="C13" i="21"/>
  <c r="H13" i="21" s="1"/>
  <c r="B13" i="21"/>
  <c r="F12" i="21"/>
  <c r="E9" i="21"/>
  <c r="E8" i="21"/>
  <c r="C8" i="21"/>
  <c r="E7" i="21"/>
  <c r="C7" i="21"/>
  <c r="E6" i="21"/>
  <c r="C6" i="21"/>
  <c r="E5" i="21"/>
  <c r="C5" i="21"/>
  <c r="E4" i="21"/>
  <c r="C4" i="21"/>
  <c r="D4" i="21" s="1"/>
  <c r="C37" i="20"/>
  <c r="G73" i="18"/>
  <c r="G75" i="18" s="1"/>
  <c r="G71" i="18"/>
  <c r="F72" i="18"/>
  <c r="F71" i="18"/>
  <c r="B39" i="18"/>
  <c r="B38" i="18"/>
  <c r="E97" i="20"/>
  <c r="B97" i="20"/>
  <c r="C96" i="20"/>
  <c r="E94" i="20"/>
  <c r="C93" i="20"/>
  <c r="B77" i="20"/>
  <c r="D77" i="20" s="1"/>
  <c r="G72" i="20"/>
  <c r="B71" i="20"/>
  <c r="B69" i="20"/>
  <c r="G48" i="20" s="1"/>
  <c r="H48" i="20" s="1"/>
  <c r="B68" i="20"/>
  <c r="G50" i="20"/>
  <c r="C42" i="20"/>
  <c r="B40" i="20"/>
  <c r="C40" i="20" s="1"/>
  <c r="B39" i="20"/>
  <c r="B34" i="20"/>
  <c r="D33" i="20"/>
  <c r="C33" i="20"/>
  <c r="C85" i="20" s="1"/>
  <c r="B85" i="20" s="1"/>
  <c r="D32" i="20"/>
  <c r="C32" i="20"/>
  <c r="C31" i="20"/>
  <c r="D30" i="20"/>
  <c r="C30" i="20"/>
  <c r="D29" i="20"/>
  <c r="C29" i="20"/>
  <c r="D28" i="20"/>
  <c r="C28" i="20"/>
  <c r="D27" i="20"/>
  <c r="C27" i="20"/>
  <c r="D26" i="20"/>
  <c r="C26" i="20"/>
  <c r="D25" i="20"/>
  <c r="C25" i="20"/>
  <c r="D24" i="20"/>
  <c r="C24" i="20"/>
  <c r="D23" i="20"/>
  <c r="C23" i="20"/>
  <c r="D22" i="20"/>
  <c r="C22" i="20"/>
  <c r="D21" i="20"/>
  <c r="C21" i="20"/>
  <c r="D20" i="20"/>
  <c r="C20" i="20"/>
  <c r="D19" i="20"/>
  <c r="C19" i="20"/>
  <c r="D18" i="20"/>
  <c r="C18" i="20"/>
  <c r="D17" i="20"/>
  <c r="C17" i="20"/>
  <c r="C87" i="20" s="1"/>
  <c r="B87" i="20" s="1"/>
  <c r="D16" i="20"/>
  <c r="C16" i="20"/>
  <c r="D15" i="20"/>
  <c r="C15" i="20"/>
  <c r="D14" i="20"/>
  <c r="C14" i="20"/>
  <c r="C34" i="20" s="1"/>
  <c r="C11" i="20"/>
  <c r="B11" i="20"/>
  <c r="B76" i="20" s="1"/>
  <c r="D10" i="20"/>
  <c r="C10" i="20"/>
  <c r="D9" i="20"/>
  <c r="C9" i="20"/>
  <c r="D8" i="20"/>
  <c r="C8" i="20"/>
  <c r="D7" i="20"/>
  <c r="C7" i="20"/>
  <c r="D6" i="20"/>
  <c r="C6" i="20"/>
  <c r="D5" i="20"/>
  <c r="C5" i="20"/>
  <c r="D4" i="20"/>
  <c r="C4" i="20"/>
  <c r="C3" i="20"/>
  <c r="E74" i="25" l="1"/>
  <c r="E68" i="25"/>
  <c r="C60" i="25"/>
  <c r="D60" i="25" s="1"/>
  <c r="E69" i="25"/>
  <c r="E72" i="25"/>
  <c r="E71" i="25"/>
  <c r="D42" i="22"/>
  <c r="C40" i="22"/>
  <c r="D39" i="22"/>
  <c r="E37" i="22"/>
  <c r="D38" i="22"/>
  <c r="D43" i="22"/>
  <c r="E12" i="21"/>
  <c r="I12" i="21" s="1"/>
  <c r="E16" i="21"/>
  <c r="I16" i="21" s="1"/>
  <c r="E17" i="21"/>
  <c r="I17" i="21" s="1"/>
  <c r="E19" i="21"/>
  <c r="I19" i="21" s="1"/>
  <c r="E13" i="21"/>
  <c r="I13" i="21" s="1"/>
  <c r="H15" i="21"/>
  <c r="C24" i="21"/>
  <c r="C25" i="21"/>
  <c r="C21" i="21"/>
  <c r="C23" i="21"/>
  <c r="C20" i="21"/>
  <c r="D5" i="21"/>
  <c r="C26" i="21"/>
  <c r="C22" i="21"/>
  <c r="C12" i="21"/>
  <c r="H12" i="21" s="1"/>
  <c r="H14" i="21"/>
  <c r="E18" i="21"/>
  <c r="I18" i="21" s="1"/>
  <c r="A68" i="20"/>
  <c r="C76" i="20"/>
  <c r="D3" i="20"/>
  <c r="B37" i="20"/>
  <c r="C77" i="20"/>
  <c r="D31" i="20"/>
  <c r="D34" i="20" s="1"/>
  <c r="G12" i="19"/>
  <c r="B12" i="19"/>
  <c r="G74" i="19"/>
  <c r="F74" i="19"/>
  <c r="D74" i="19"/>
  <c r="B74" i="19"/>
  <c r="G73" i="19"/>
  <c r="F73" i="19"/>
  <c r="D73" i="19"/>
  <c r="B73" i="19"/>
  <c r="G72" i="19"/>
  <c r="F72" i="19"/>
  <c r="D72" i="19"/>
  <c r="B72" i="19"/>
  <c r="G71" i="19"/>
  <c r="F71" i="19"/>
  <c r="D71" i="19"/>
  <c r="B71" i="19"/>
  <c r="G70" i="19"/>
  <c r="F70" i="19"/>
  <c r="D70" i="19"/>
  <c r="B70" i="19"/>
  <c r="G69" i="19"/>
  <c r="F69" i="19"/>
  <c r="D69" i="19"/>
  <c r="B69" i="19"/>
  <c r="G68" i="19"/>
  <c r="F68" i="19"/>
  <c r="D68" i="19"/>
  <c r="B68" i="19"/>
  <c r="G67" i="19"/>
  <c r="F67" i="19"/>
  <c r="D67" i="19"/>
  <c r="B67" i="19"/>
  <c r="G66" i="19"/>
  <c r="F66" i="19"/>
  <c r="D66" i="19"/>
  <c r="B66" i="19"/>
  <c r="G65" i="19"/>
  <c r="F65" i="19"/>
  <c r="D65" i="19"/>
  <c r="B65" i="19"/>
  <c r="G64" i="19"/>
  <c r="F64" i="19"/>
  <c r="D64" i="19"/>
  <c r="B64" i="19"/>
  <c r="G63" i="19"/>
  <c r="F63" i="19"/>
  <c r="D63" i="19"/>
  <c r="B63" i="19"/>
  <c r="G62" i="19"/>
  <c r="F62" i="19"/>
  <c r="D62" i="19"/>
  <c r="B62" i="19"/>
  <c r="G61" i="19"/>
  <c r="F61" i="19"/>
  <c r="D61" i="19"/>
  <c r="B61" i="19"/>
  <c r="G60" i="19"/>
  <c r="F60" i="19"/>
  <c r="D60" i="19"/>
  <c r="B60" i="19"/>
  <c r="G59" i="19"/>
  <c r="F59" i="19"/>
  <c r="D59" i="19"/>
  <c r="B59" i="19"/>
  <c r="G58" i="19"/>
  <c r="F58" i="19"/>
  <c r="D58" i="19"/>
  <c r="B58" i="19"/>
  <c r="G57" i="19"/>
  <c r="F57" i="19"/>
  <c r="D57" i="19"/>
  <c r="B57" i="19"/>
  <c r="G56" i="19"/>
  <c r="F56" i="19"/>
  <c r="D56" i="19"/>
  <c r="B56" i="19"/>
  <c r="G55" i="19"/>
  <c r="F55" i="19"/>
  <c r="D55" i="19"/>
  <c r="B55" i="19"/>
  <c r="G54" i="19"/>
  <c r="F54" i="19"/>
  <c r="D54" i="19"/>
  <c r="B54" i="19"/>
  <c r="G53" i="19"/>
  <c r="F53" i="19"/>
  <c r="D53" i="19"/>
  <c r="B53" i="19"/>
  <c r="G52" i="19"/>
  <c r="F52" i="19"/>
  <c r="D52" i="19"/>
  <c r="B52" i="19"/>
  <c r="G51" i="19"/>
  <c r="F51" i="19"/>
  <c r="D51" i="19"/>
  <c r="B51" i="19"/>
  <c r="G50" i="19"/>
  <c r="F50" i="19"/>
  <c r="D50" i="19"/>
  <c r="B50" i="19"/>
  <c r="G49" i="19"/>
  <c r="F49" i="19"/>
  <c r="D49" i="19"/>
  <c r="B49" i="19"/>
  <c r="G48" i="19"/>
  <c r="F48" i="19"/>
  <c r="D48" i="19"/>
  <c r="B48" i="19"/>
  <c r="G47" i="19"/>
  <c r="F47" i="19"/>
  <c r="D47" i="19"/>
  <c r="B47" i="19"/>
  <c r="G46" i="19"/>
  <c r="F46" i="19"/>
  <c r="D46" i="19"/>
  <c r="B46" i="19"/>
  <c r="G45" i="19"/>
  <c r="F45" i="19"/>
  <c r="D45" i="19"/>
  <c r="B45" i="19"/>
  <c r="G44" i="19"/>
  <c r="F44" i="19"/>
  <c r="D44" i="19"/>
  <c r="B44" i="19"/>
  <c r="G43" i="19"/>
  <c r="F43" i="19"/>
  <c r="D43" i="19"/>
  <c r="B43" i="19"/>
  <c r="G42" i="19"/>
  <c r="F42" i="19"/>
  <c r="D42" i="19"/>
  <c r="B42" i="19"/>
  <c r="G41" i="19"/>
  <c r="F41" i="19"/>
  <c r="D41" i="19"/>
  <c r="B41" i="19"/>
  <c r="G40" i="19"/>
  <c r="F40" i="19"/>
  <c r="D40" i="19"/>
  <c r="B40" i="19"/>
  <c r="G39" i="19"/>
  <c r="F39" i="19"/>
  <c r="D39" i="19"/>
  <c r="B39" i="19"/>
  <c r="G38" i="19"/>
  <c r="F38" i="19"/>
  <c r="D38" i="19"/>
  <c r="B38" i="19"/>
  <c r="G37" i="19"/>
  <c r="F37" i="19"/>
  <c r="D37" i="19"/>
  <c r="B37" i="19"/>
  <c r="G36" i="19"/>
  <c r="F36" i="19"/>
  <c r="D36" i="19"/>
  <c r="B36" i="19"/>
  <c r="G35" i="19"/>
  <c r="F35" i="19"/>
  <c r="D35" i="19"/>
  <c r="B35" i="19"/>
  <c r="G34" i="19"/>
  <c r="F34" i="19"/>
  <c r="D34" i="19"/>
  <c r="B34" i="19"/>
  <c r="G33" i="19"/>
  <c r="F33" i="19"/>
  <c r="D33" i="19"/>
  <c r="B33" i="19"/>
  <c r="G32" i="19"/>
  <c r="F32" i="19"/>
  <c r="D32" i="19"/>
  <c r="B32" i="19"/>
  <c r="G31" i="19"/>
  <c r="F31" i="19"/>
  <c r="D31" i="19"/>
  <c r="B31" i="19"/>
  <c r="G30" i="19"/>
  <c r="F30" i="19"/>
  <c r="D30" i="19"/>
  <c r="B30" i="19"/>
  <c r="G29" i="19"/>
  <c r="F29" i="19"/>
  <c r="D29" i="19"/>
  <c r="B29" i="19"/>
  <c r="G28" i="19"/>
  <c r="F28" i="19"/>
  <c r="D28" i="19"/>
  <c r="B28" i="19"/>
  <c r="G27" i="19"/>
  <c r="F27" i="19"/>
  <c r="D27" i="19"/>
  <c r="G26" i="19"/>
  <c r="F26" i="19"/>
  <c r="D26" i="19"/>
  <c r="G25" i="19"/>
  <c r="F25" i="19"/>
  <c r="D25" i="19"/>
  <c r="G24" i="19"/>
  <c r="F24" i="19"/>
  <c r="D24" i="19"/>
  <c r="G23" i="19"/>
  <c r="F23" i="19"/>
  <c r="D23" i="19"/>
  <c r="G22" i="19"/>
  <c r="F22" i="19"/>
  <c r="D22" i="19"/>
  <c r="G21" i="19"/>
  <c r="F21" i="19"/>
  <c r="D21" i="19"/>
  <c r="F20" i="19"/>
  <c r="D20" i="19"/>
  <c r="F19" i="19"/>
  <c r="D19" i="19"/>
  <c r="C19" i="19"/>
  <c r="E19" i="19" s="1"/>
  <c r="I19" i="19" s="1"/>
  <c r="F18" i="19"/>
  <c r="D18" i="19"/>
  <c r="C18" i="19"/>
  <c r="H18" i="19" s="1"/>
  <c r="G17" i="19"/>
  <c r="F17" i="19"/>
  <c r="D17" i="19"/>
  <c r="E17" i="19" s="1"/>
  <c r="I17" i="19" s="1"/>
  <c r="C17" i="19"/>
  <c r="H17" i="19" s="1"/>
  <c r="G16" i="19"/>
  <c r="F16" i="19"/>
  <c r="D16" i="19"/>
  <c r="C16" i="19"/>
  <c r="E16" i="19" s="1"/>
  <c r="I16" i="19" s="1"/>
  <c r="G15" i="19"/>
  <c r="F15" i="19"/>
  <c r="D15" i="19"/>
  <c r="C15" i="19"/>
  <c r="E15" i="19" s="1"/>
  <c r="I15" i="19" s="1"/>
  <c r="G14" i="19"/>
  <c r="F14" i="19"/>
  <c r="E14" i="19"/>
  <c r="I14" i="19" s="1"/>
  <c r="D14" i="19"/>
  <c r="C14" i="19"/>
  <c r="H14" i="19" s="1"/>
  <c r="H13" i="19"/>
  <c r="G13" i="19"/>
  <c r="F13" i="19"/>
  <c r="D13" i="19"/>
  <c r="C13" i="19"/>
  <c r="E13" i="19" s="1"/>
  <c r="I13" i="19" s="1"/>
  <c r="B13" i="19"/>
  <c r="F12" i="19"/>
  <c r="D12" i="19"/>
  <c r="E9" i="19"/>
  <c r="E8" i="19"/>
  <c r="C8" i="19"/>
  <c r="E7" i="19"/>
  <c r="C7" i="19"/>
  <c r="E6" i="19"/>
  <c r="C6" i="19"/>
  <c r="D6" i="19" s="1"/>
  <c r="E5" i="19"/>
  <c r="C5" i="19"/>
  <c r="D5" i="19" s="1"/>
  <c r="E4" i="19"/>
  <c r="D4" i="19"/>
  <c r="C12" i="19" s="1"/>
  <c r="H12" i="19" s="1"/>
  <c r="C4" i="19"/>
  <c r="E100" i="18"/>
  <c r="B100" i="18"/>
  <c r="C99" i="18"/>
  <c r="C96" i="18"/>
  <c r="E97" i="18" s="1"/>
  <c r="B80" i="18"/>
  <c r="B74" i="18"/>
  <c r="H71" i="18"/>
  <c r="C45" i="18"/>
  <c r="B43" i="18"/>
  <c r="C43" i="18" s="1"/>
  <c r="B42" i="18"/>
  <c r="B34" i="18"/>
  <c r="D33" i="18"/>
  <c r="C33" i="18"/>
  <c r="C88" i="18" s="1"/>
  <c r="B88" i="18" s="1"/>
  <c r="D32" i="18"/>
  <c r="C32" i="18"/>
  <c r="C31" i="18"/>
  <c r="D30" i="18"/>
  <c r="C30" i="18"/>
  <c r="D29" i="18"/>
  <c r="C29" i="18"/>
  <c r="D28" i="18"/>
  <c r="C28" i="18"/>
  <c r="D27" i="18"/>
  <c r="C27" i="18"/>
  <c r="D26" i="18"/>
  <c r="C26" i="18"/>
  <c r="D25" i="18"/>
  <c r="C25" i="18"/>
  <c r="D24" i="18"/>
  <c r="C24" i="18"/>
  <c r="D23" i="18"/>
  <c r="C23" i="18"/>
  <c r="D22" i="18"/>
  <c r="C22" i="18"/>
  <c r="D21" i="18"/>
  <c r="C21" i="18"/>
  <c r="D20" i="18"/>
  <c r="C20" i="18"/>
  <c r="D19" i="18"/>
  <c r="C19" i="18"/>
  <c r="D18" i="18"/>
  <c r="C18" i="18"/>
  <c r="D17" i="18"/>
  <c r="C17" i="18"/>
  <c r="C90" i="18" s="1"/>
  <c r="B90" i="18" s="1"/>
  <c r="D16" i="18"/>
  <c r="C16" i="18"/>
  <c r="D15" i="18"/>
  <c r="C15" i="18"/>
  <c r="D14" i="18"/>
  <c r="C14" i="18"/>
  <c r="B11" i="18"/>
  <c r="D10" i="18"/>
  <c r="C10" i="18"/>
  <c r="D9" i="18"/>
  <c r="C9" i="18"/>
  <c r="D8" i="18"/>
  <c r="C8" i="18"/>
  <c r="D7" i="18"/>
  <c r="C7" i="18"/>
  <c r="D6" i="18"/>
  <c r="C6" i="18"/>
  <c r="D5" i="18"/>
  <c r="C5" i="18"/>
  <c r="C4" i="18"/>
  <c r="C3" i="18"/>
  <c r="C61" i="25" l="1"/>
  <c r="C62" i="25" s="1"/>
  <c r="E42" i="22"/>
  <c r="C41" i="22"/>
  <c r="D40" i="22"/>
  <c r="B41" i="22"/>
  <c r="B44" i="22" s="1"/>
  <c r="C35" i="21"/>
  <c r="C33" i="21"/>
  <c r="C31" i="21"/>
  <c r="C30" i="21"/>
  <c r="C27" i="21"/>
  <c r="C32" i="21"/>
  <c r="C28" i="21"/>
  <c r="C34" i="21"/>
  <c r="C29" i="21"/>
  <c r="H25" i="21"/>
  <c r="E25" i="21"/>
  <c r="I25" i="21" s="1"/>
  <c r="E20" i="21"/>
  <c r="I20" i="21" s="1"/>
  <c r="H20" i="21"/>
  <c r="E24" i="21"/>
  <c r="I24" i="21" s="1"/>
  <c r="H24" i="21"/>
  <c r="E22" i="21"/>
  <c r="I22" i="21" s="1"/>
  <c r="H22" i="21"/>
  <c r="E23" i="21"/>
  <c r="I23" i="21" s="1"/>
  <c r="H23" i="21"/>
  <c r="E26" i="21"/>
  <c r="I26" i="21" s="1"/>
  <c r="H26" i="21"/>
  <c r="H21" i="21"/>
  <c r="E21" i="21"/>
  <c r="I21" i="21" s="1"/>
  <c r="D6" i="21"/>
  <c r="B37" i="18"/>
  <c r="B40" i="18" s="1"/>
  <c r="C34" i="18"/>
  <c r="C11" i="18"/>
  <c r="A37" i="20"/>
  <c r="D4" i="18"/>
  <c r="E12" i="19"/>
  <c r="I12" i="19" s="1"/>
  <c r="E18" i="19"/>
  <c r="I18" i="19" s="1"/>
  <c r="C34" i="19"/>
  <c r="C33" i="19"/>
  <c r="C32" i="19"/>
  <c r="C31" i="19"/>
  <c r="C30" i="19"/>
  <c r="C29" i="19"/>
  <c r="C28" i="19"/>
  <c r="C27" i="19"/>
  <c r="C35" i="19"/>
  <c r="C37" i="19"/>
  <c r="C40" i="19"/>
  <c r="C38" i="19"/>
  <c r="C36" i="19"/>
  <c r="C39" i="19"/>
  <c r="D7" i="19"/>
  <c r="C41" i="19"/>
  <c r="H19" i="19"/>
  <c r="H16" i="19"/>
  <c r="C21" i="19"/>
  <c r="C22" i="19"/>
  <c r="C23" i="19"/>
  <c r="C25" i="19"/>
  <c r="C26" i="19"/>
  <c r="C24" i="19"/>
  <c r="H15" i="19"/>
  <c r="C20" i="19"/>
  <c r="C80" i="18"/>
  <c r="B79" i="18"/>
  <c r="E97" i="17"/>
  <c r="B97" i="17"/>
  <c r="C96" i="17"/>
  <c r="E94" i="17"/>
  <c r="C93" i="17"/>
  <c r="B77" i="17"/>
  <c r="G72" i="17"/>
  <c r="B71" i="17"/>
  <c r="B69" i="17"/>
  <c r="G48" i="17" s="1"/>
  <c r="H48" i="17" s="1"/>
  <c r="B68" i="17"/>
  <c r="A68" i="17" s="1"/>
  <c r="G50" i="17"/>
  <c r="C42" i="17"/>
  <c r="B40" i="17"/>
  <c r="C40" i="17" s="1"/>
  <c r="B39" i="17"/>
  <c r="C34" i="17"/>
  <c r="B34" i="17"/>
  <c r="D33" i="17"/>
  <c r="C33" i="17"/>
  <c r="C85" i="17" s="1"/>
  <c r="B85" i="17" s="1"/>
  <c r="D32" i="17"/>
  <c r="C32" i="17"/>
  <c r="C31" i="17"/>
  <c r="D30" i="17"/>
  <c r="C30" i="17"/>
  <c r="D29" i="17"/>
  <c r="C29" i="17"/>
  <c r="D28" i="17"/>
  <c r="C28" i="17"/>
  <c r="D27" i="17"/>
  <c r="C27" i="17"/>
  <c r="D26" i="17"/>
  <c r="C26" i="17"/>
  <c r="D25" i="17"/>
  <c r="C25" i="17"/>
  <c r="D24" i="17"/>
  <c r="C24" i="17"/>
  <c r="D23" i="17"/>
  <c r="C23" i="17"/>
  <c r="D22" i="17"/>
  <c r="C22" i="17"/>
  <c r="D21" i="17"/>
  <c r="C21" i="17"/>
  <c r="D20" i="17"/>
  <c r="C20" i="17"/>
  <c r="D19" i="17"/>
  <c r="C19" i="17"/>
  <c r="D18" i="17"/>
  <c r="C18" i="17"/>
  <c r="D17" i="17"/>
  <c r="C17" i="17"/>
  <c r="C87" i="17" s="1"/>
  <c r="B87" i="17" s="1"/>
  <c r="D16" i="17"/>
  <c r="C16" i="17"/>
  <c r="D15" i="17"/>
  <c r="C15" i="17"/>
  <c r="D14" i="17"/>
  <c r="C14" i="17"/>
  <c r="C11" i="17"/>
  <c r="B11" i="17"/>
  <c r="B37" i="17" s="1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D3" i="17"/>
  <c r="C3" i="17"/>
  <c r="G62" i="25" l="1"/>
  <c r="D62" i="25"/>
  <c r="C63" i="25"/>
  <c r="C64" i="25" s="1"/>
  <c r="D64" i="25" s="1"/>
  <c r="G61" i="25"/>
  <c r="D61" i="25"/>
  <c r="B47" i="22"/>
  <c r="C47" i="22" s="1"/>
  <c r="B48" i="22"/>
  <c r="C48" i="22" s="1"/>
  <c r="B46" i="22"/>
  <c r="B49" i="22"/>
  <c r="C49" i="22" s="1"/>
  <c r="C44" i="22"/>
  <c r="E33" i="21"/>
  <c r="I33" i="21" s="1"/>
  <c r="H33" i="21"/>
  <c r="C41" i="21"/>
  <c r="C39" i="21"/>
  <c r="C37" i="21"/>
  <c r="D7" i="21"/>
  <c r="C40" i="21"/>
  <c r="C38" i="21"/>
  <c r="C36" i="21"/>
  <c r="E34" i="21"/>
  <c r="I34" i="21" s="1"/>
  <c r="H34" i="21"/>
  <c r="E30" i="21"/>
  <c r="I30" i="21" s="1"/>
  <c r="H30" i="21"/>
  <c r="E28" i="21"/>
  <c r="I28" i="21" s="1"/>
  <c r="H28" i="21"/>
  <c r="E31" i="21"/>
  <c r="I31" i="21" s="1"/>
  <c r="H31" i="21"/>
  <c r="E32" i="21"/>
  <c r="I32" i="21" s="1"/>
  <c r="H32" i="21"/>
  <c r="E29" i="21"/>
  <c r="I29" i="21" s="1"/>
  <c r="H29" i="21"/>
  <c r="E27" i="21"/>
  <c r="I27" i="21" s="1"/>
  <c r="H27" i="21"/>
  <c r="E35" i="21"/>
  <c r="I35" i="21" s="1"/>
  <c r="H35" i="21"/>
  <c r="A37" i="18"/>
  <c r="D3" i="18"/>
  <c r="C37" i="18"/>
  <c r="D31" i="18"/>
  <c r="D34" i="18" s="1"/>
  <c r="E37" i="20"/>
  <c r="E39" i="20"/>
  <c r="C38" i="20"/>
  <c r="D39" i="20"/>
  <c r="D40" i="20"/>
  <c r="H20" i="19"/>
  <c r="E20" i="19"/>
  <c r="I20" i="19" s="1"/>
  <c r="E37" i="19"/>
  <c r="I37" i="19" s="1"/>
  <c r="H37" i="19"/>
  <c r="E24" i="19"/>
  <c r="I24" i="19" s="1"/>
  <c r="H24" i="19"/>
  <c r="E22" i="19"/>
  <c r="I22" i="19" s="1"/>
  <c r="H22" i="19"/>
  <c r="E41" i="19"/>
  <c r="I41" i="19" s="1"/>
  <c r="H41" i="19"/>
  <c r="E38" i="19"/>
  <c r="I38" i="19" s="1"/>
  <c r="H38" i="19"/>
  <c r="E27" i="19"/>
  <c r="I27" i="19" s="1"/>
  <c r="H27" i="19"/>
  <c r="E31" i="19"/>
  <c r="I31" i="19" s="1"/>
  <c r="H31" i="19"/>
  <c r="E26" i="19"/>
  <c r="I26" i="19" s="1"/>
  <c r="H26" i="19"/>
  <c r="E21" i="19"/>
  <c r="I21" i="19" s="1"/>
  <c r="H21" i="19"/>
  <c r="D8" i="19"/>
  <c r="C51" i="19"/>
  <c r="C43" i="19"/>
  <c r="C52" i="19"/>
  <c r="C50" i="19"/>
  <c r="C48" i="19"/>
  <c r="C46" i="19"/>
  <c r="C44" i="19"/>
  <c r="C42" i="19"/>
  <c r="C49" i="19"/>
  <c r="C45" i="19"/>
  <c r="C47" i="19"/>
  <c r="E40" i="19"/>
  <c r="I40" i="19" s="1"/>
  <c r="H40" i="19"/>
  <c r="E28" i="19"/>
  <c r="I28" i="19" s="1"/>
  <c r="H28" i="19"/>
  <c r="E32" i="19"/>
  <c r="I32" i="19" s="1"/>
  <c r="H32" i="19"/>
  <c r="E25" i="19"/>
  <c r="I25" i="19" s="1"/>
  <c r="H25" i="19"/>
  <c r="E39" i="19"/>
  <c r="I39" i="19" s="1"/>
  <c r="H39" i="19"/>
  <c r="E29" i="19"/>
  <c r="I29" i="19" s="1"/>
  <c r="H29" i="19"/>
  <c r="E33" i="19"/>
  <c r="I33" i="19" s="1"/>
  <c r="H33" i="19"/>
  <c r="E23" i="19"/>
  <c r="I23" i="19" s="1"/>
  <c r="H23" i="19"/>
  <c r="E36" i="19"/>
  <c r="I36" i="19" s="1"/>
  <c r="H36" i="19"/>
  <c r="E35" i="19"/>
  <c r="I35" i="19" s="1"/>
  <c r="H35" i="19"/>
  <c r="E30" i="19"/>
  <c r="I30" i="19" s="1"/>
  <c r="H30" i="19"/>
  <c r="E34" i="19"/>
  <c r="I34" i="19" s="1"/>
  <c r="H34" i="19"/>
  <c r="C79" i="18"/>
  <c r="D80" i="18"/>
  <c r="A37" i="17"/>
  <c r="C37" i="17"/>
  <c r="D40" i="17" s="1"/>
  <c r="C77" i="17"/>
  <c r="D31" i="17"/>
  <c r="D34" i="17" s="1"/>
  <c r="B76" i="17"/>
  <c r="G74" i="16"/>
  <c r="F74" i="16"/>
  <c r="D74" i="16"/>
  <c r="B74" i="16"/>
  <c r="G73" i="16"/>
  <c r="F73" i="16"/>
  <c r="D73" i="16"/>
  <c r="B73" i="16"/>
  <c r="G72" i="16"/>
  <c r="F72" i="16"/>
  <c r="D72" i="16"/>
  <c r="B72" i="16"/>
  <c r="G71" i="16"/>
  <c r="F71" i="16"/>
  <c r="D71" i="16"/>
  <c r="B71" i="16"/>
  <c r="G70" i="16"/>
  <c r="F70" i="16"/>
  <c r="D70" i="16"/>
  <c r="B70" i="16"/>
  <c r="G69" i="16"/>
  <c r="F69" i="16"/>
  <c r="D69" i="16"/>
  <c r="B69" i="16"/>
  <c r="G68" i="16"/>
  <c r="F68" i="16"/>
  <c r="D68" i="16"/>
  <c r="B68" i="16"/>
  <c r="G67" i="16"/>
  <c r="F67" i="16"/>
  <c r="D67" i="16"/>
  <c r="B67" i="16"/>
  <c r="G66" i="16"/>
  <c r="F66" i="16"/>
  <c r="D66" i="16"/>
  <c r="B66" i="16"/>
  <c r="G65" i="16"/>
  <c r="F65" i="16"/>
  <c r="D65" i="16"/>
  <c r="B65" i="16"/>
  <c r="G64" i="16"/>
  <c r="F64" i="16"/>
  <c r="D64" i="16"/>
  <c r="B64" i="16"/>
  <c r="G63" i="16"/>
  <c r="F63" i="16"/>
  <c r="D63" i="16"/>
  <c r="B63" i="16"/>
  <c r="G62" i="16"/>
  <c r="F62" i="16"/>
  <c r="D62" i="16"/>
  <c r="B62" i="16"/>
  <c r="G61" i="16"/>
  <c r="F61" i="16"/>
  <c r="D61" i="16"/>
  <c r="B61" i="16"/>
  <c r="G60" i="16"/>
  <c r="F60" i="16"/>
  <c r="D60" i="16"/>
  <c r="B60" i="16"/>
  <c r="G59" i="16"/>
  <c r="F59" i="16"/>
  <c r="D59" i="16"/>
  <c r="B59" i="16"/>
  <c r="G58" i="16"/>
  <c r="F58" i="16"/>
  <c r="D58" i="16"/>
  <c r="B58" i="16"/>
  <c r="G57" i="16"/>
  <c r="F57" i="16"/>
  <c r="D57" i="16"/>
  <c r="B57" i="16"/>
  <c r="G56" i="16"/>
  <c r="F56" i="16"/>
  <c r="D56" i="16"/>
  <c r="B56" i="16"/>
  <c r="G55" i="16"/>
  <c r="F55" i="16"/>
  <c r="D55" i="16"/>
  <c r="B55" i="16"/>
  <c r="G54" i="16"/>
  <c r="F54" i="16"/>
  <c r="D54" i="16"/>
  <c r="B54" i="16"/>
  <c r="G53" i="16"/>
  <c r="F53" i="16"/>
  <c r="D53" i="16"/>
  <c r="B53" i="16"/>
  <c r="G52" i="16"/>
  <c r="F52" i="16"/>
  <c r="D52" i="16"/>
  <c r="B52" i="16"/>
  <c r="G51" i="16"/>
  <c r="F51" i="16"/>
  <c r="D51" i="16"/>
  <c r="B51" i="16"/>
  <c r="G50" i="16"/>
  <c r="F50" i="16"/>
  <c r="D50" i="16"/>
  <c r="B50" i="16"/>
  <c r="G49" i="16"/>
  <c r="F49" i="16"/>
  <c r="D49" i="16"/>
  <c r="B49" i="16"/>
  <c r="G48" i="16"/>
  <c r="F48" i="16"/>
  <c r="D48" i="16"/>
  <c r="B48" i="16"/>
  <c r="G47" i="16"/>
  <c r="F47" i="16"/>
  <c r="D47" i="16"/>
  <c r="B47" i="16"/>
  <c r="G46" i="16"/>
  <c r="F46" i="16"/>
  <c r="D46" i="16"/>
  <c r="B46" i="16"/>
  <c r="G45" i="16"/>
  <c r="F45" i="16"/>
  <c r="D45" i="16"/>
  <c r="B45" i="16"/>
  <c r="G44" i="16"/>
  <c r="F44" i="16"/>
  <c r="D44" i="16"/>
  <c r="B44" i="16"/>
  <c r="G43" i="16"/>
  <c r="F43" i="16"/>
  <c r="D43" i="16"/>
  <c r="B43" i="16"/>
  <c r="G42" i="16"/>
  <c r="F42" i="16"/>
  <c r="D42" i="16"/>
  <c r="B42" i="16"/>
  <c r="G41" i="16"/>
  <c r="F41" i="16"/>
  <c r="D41" i="16"/>
  <c r="B41" i="16"/>
  <c r="G40" i="16"/>
  <c r="F40" i="16"/>
  <c r="D40" i="16"/>
  <c r="B40" i="16"/>
  <c r="G39" i="16"/>
  <c r="F39" i="16"/>
  <c r="D39" i="16"/>
  <c r="B39" i="16"/>
  <c r="G38" i="16"/>
  <c r="F38" i="16"/>
  <c r="D38" i="16"/>
  <c r="B38" i="16"/>
  <c r="G37" i="16"/>
  <c r="F37" i="16"/>
  <c r="D37" i="16"/>
  <c r="B37" i="16"/>
  <c r="G36" i="16"/>
  <c r="F36" i="16"/>
  <c r="D36" i="16"/>
  <c r="B36" i="16"/>
  <c r="G35" i="16"/>
  <c r="F35" i="16"/>
  <c r="D35" i="16"/>
  <c r="B35" i="16"/>
  <c r="G34" i="16"/>
  <c r="F34" i="16"/>
  <c r="D34" i="16"/>
  <c r="B34" i="16"/>
  <c r="G33" i="16"/>
  <c r="F33" i="16"/>
  <c r="D33" i="16"/>
  <c r="B33" i="16"/>
  <c r="G32" i="16"/>
  <c r="F32" i="16"/>
  <c r="D32" i="16"/>
  <c r="B32" i="16"/>
  <c r="G31" i="16"/>
  <c r="F31" i="16"/>
  <c r="D31" i="16"/>
  <c r="B31" i="16"/>
  <c r="G30" i="16"/>
  <c r="F30" i="16"/>
  <c r="D30" i="16"/>
  <c r="B30" i="16"/>
  <c r="G29" i="16"/>
  <c r="F29" i="16"/>
  <c r="D29" i="16"/>
  <c r="B29" i="16"/>
  <c r="G28" i="16"/>
  <c r="F28" i="16"/>
  <c r="D28" i="16"/>
  <c r="B28" i="16"/>
  <c r="G27" i="16"/>
  <c r="F27" i="16"/>
  <c r="D27" i="16"/>
  <c r="B27" i="16"/>
  <c r="G26" i="16"/>
  <c r="F26" i="16"/>
  <c r="D26" i="16"/>
  <c r="C26" i="16"/>
  <c r="E26" i="16" s="1"/>
  <c r="I26" i="16" s="1"/>
  <c r="B26" i="16"/>
  <c r="G25" i="16"/>
  <c r="F25" i="16"/>
  <c r="D25" i="16"/>
  <c r="C25" i="16"/>
  <c r="E25" i="16" s="1"/>
  <c r="I25" i="16" s="1"/>
  <c r="B25" i="16"/>
  <c r="G24" i="16"/>
  <c r="F24" i="16"/>
  <c r="D24" i="16"/>
  <c r="C24" i="16"/>
  <c r="E24" i="16" s="1"/>
  <c r="I24" i="16" s="1"/>
  <c r="B24" i="16"/>
  <c r="G23" i="16"/>
  <c r="F23" i="16"/>
  <c r="D23" i="16"/>
  <c r="C23" i="16"/>
  <c r="E23" i="16" s="1"/>
  <c r="I23" i="16" s="1"/>
  <c r="B23" i="16"/>
  <c r="G22" i="16"/>
  <c r="F22" i="16"/>
  <c r="D22" i="16"/>
  <c r="C22" i="16"/>
  <c r="E22" i="16" s="1"/>
  <c r="I22" i="16" s="1"/>
  <c r="B22" i="16"/>
  <c r="G21" i="16"/>
  <c r="F21" i="16"/>
  <c r="D21" i="16"/>
  <c r="C21" i="16"/>
  <c r="E21" i="16" s="1"/>
  <c r="I21" i="16" s="1"/>
  <c r="B21" i="16"/>
  <c r="F20" i="16"/>
  <c r="D20" i="16"/>
  <c r="F19" i="16"/>
  <c r="D19" i="16"/>
  <c r="C19" i="16"/>
  <c r="F18" i="16"/>
  <c r="E18" i="16"/>
  <c r="I18" i="16" s="1"/>
  <c r="D18" i="16"/>
  <c r="C18" i="16"/>
  <c r="H18" i="16" s="1"/>
  <c r="H17" i="16"/>
  <c r="G17" i="16"/>
  <c r="F17" i="16"/>
  <c r="D17" i="16"/>
  <c r="E17" i="16" s="1"/>
  <c r="I17" i="16" s="1"/>
  <c r="C17" i="16"/>
  <c r="G16" i="16"/>
  <c r="F16" i="16"/>
  <c r="D16" i="16"/>
  <c r="C16" i="16"/>
  <c r="G15" i="16"/>
  <c r="F15" i="16"/>
  <c r="D15" i="16"/>
  <c r="C15" i="16"/>
  <c r="E15" i="16" s="1"/>
  <c r="I15" i="16" s="1"/>
  <c r="H14" i="16"/>
  <c r="G14" i="16"/>
  <c r="F14" i="16"/>
  <c r="E14" i="16"/>
  <c r="I14" i="16" s="1"/>
  <c r="D14" i="16"/>
  <c r="C14" i="16"/>
  <c r="H13" i="16"/>
  <c r="G13" i="16"/>
  <c r="F13" i="16"/>
  <c r="E13" i="16"/>
  <c r="I13" i="16" s="1"/>
  <c r="D13" i="16"/>
  <c r="C13" i="16"/>
  <c r="B13" i="16"/>
  <c r="G12" i="16"/>
  <c r="F12" i="16"/>
  <c r="D12" i="16"/>
  <c r="C12" i="16"/>
  <c r="H12" i="16" s="1"/>
  <c r="B12" i="16"/>
  <c r="E9" i="16"/>
  <c r="E8" i="16"/>
  <c r="C8" i="16"/>
  <c r="E7" i="16"/>
  <c r="C7" i="16"/>
  <c r="E6" i="16"/>
  <c r="C6" i="16"/>
  <c r="D6" i="16" s="1"/>
  <c r="E5" i="16"/>
  <c r="C5" i="16"/>
  <c r="D5" i="16" s="1"/>
  <c r="E4" i="16"/>
  <c r="D4" i="16"/>
  <c r="C20" i="16" s="1"/>
  <c r="C4" i="16"/>
  <c r="D63" i="25" l="1"/>
  <c r="C65" i="25"/>
  <c r="C66" i="25" s="1"/>
  <c r="D66" i="25" s="1"/>
  <c r="G64" i="25"/>
  <c r="G63" i="25"/>
  <c r="C46" i="22"/>
  <c r="C50" i="22" s="1"/>
  <c r="C51" i="22" s="1"/>
  <c r="B50" i="22"/>
  <c r="D44" i="22"/>
  <c r="E38" i="21"/>
  <c r="I38" i="21" s="1"/>
  <c r="H38" i="21"/>
  <c r="E39" i="21"/>
  <c r="I39" i="21" s="1"/>
  <c r="H39" i="21"/>
  <c r="E40" i="21"/>
  <c r="I40" i="21" s="1"/>
  <c r="H40" i="21"/>
  <c r="E41" i="21"/>
  <c r="I41" i="21" s="1"/>
  <c r="H41" i="21"/>
  <c r="C51" i="21"/>
  <c r="C49" i="21"/>
  <c r="C47" i="21"/>
  <c r="C45" i="21"/>
  <c r="C43" i="21"/>
  <c r="C52" i="21"/>
  <c r="C50" i="21"/>
  <c r="C48" i="21"/>
  <c r="C46" i="21"/>
  <c r="C44" i="21"/>
  <c r="C42" i="21"/>
  <c r="D8" i="21"/>
  <c r="E36" i="21"/>
  <c r="I36" i="21" s="1"/>
  <c r="H36" i="21"/>
  <c r="E37" i="21"/>
  <c r="I37" i="21" s="1"/>
  <c r="H37" i="21"/>
  <c r="E37" i="18"/>
  <c r="C40" i="18"/>
  <c r="D38" i="18"/>
  <c r="D42" i="18"/>
  <c r="D43" i="18"/>
  <c r="D39" i="18"/>
  <c r="D38" i="20"/>
  <c r="B38" i="20"/>
  <c r="B41" i="20" s="1"/>
  <c r="C41" i="20"/>
  <c r="D41" i="20" s="1"/>
  <c r="E44" i="19"/>
  <c r="I44" i="19" s="1"/>
  <c r="H44" i="19"/>
  <c r="E45" i="19"/>
  <c r="I45" i="19" s="1"/>
  <c r="H45" i="19"/>
  <c r="E46" i="19"/>
  <c r="I46" i="19" s="1"/>
  <c r="H46" i="19"/>
  <c r="E43" i="19"/>
  <c r="I43" i="19" s="1"/>
  <c r="H43" i="19"/>
  <c r="E47" i="19"/>
  <c r="I47" i="19" s="1"/>
  <c r="H47" i="19"/>
  <c r="E49" i="19"/>
  <c r="I49" i="19" s="1"/>
  <c r="H49" i="19"/>
  <c r="E48" i="19"/>
  <c r="I48" i="19" s="1"/>
  <c r="H48" i="19"/>
  <c r="E51" i="19"/>
  <c r="I51" i="19" s="1"/>
  <c r="H51" i="19"/>
  <c r="E52" i="19"/>
  <c r="I52" i="19" s="1"/>
  <c r="H52" i="19"/>
  <c r="E42" i="19"/>
  <c r="I42" i="19" s="1"/>
  <c r="H42" i="19"/>
  <c r="E50" i="19"/>
  <c r="I50" i="19" s="1"/>
  <c r="H50" i="19"/>
  <c r="C74" i="19"/>
  <c r="C73" i="19"/>
  <c r="C72" i="19"/>
  <c r="C71" i="19"/>
  <c r="C70" i="19"/>
  <c r="C69" i="19"/>
  <c r="C68" i="19"/>
  <c r="C67" i="19"/>
  <c r="C66" i="19"/>
  <c r="C59" i="19"/>
  <c r="C64" i="19"/>
  <c r="C62" i="19"/>
  <c r="C60" i="19"/>
  <c r="C58" i="19"/>
  <c r="C56" i="19"/>
  <c r="C54" i="19"/>
  <c r="C63" i="19"/>
  <c r="C61" i="19"/>
  <c r="C57" i="19"/>
  <c r="C55" i="19"/>
  <c r="C65" i="19"/>
  <c r="C53" i="19"/>
  <c r="C76" i="17"/>
  <c r="D77" i="17"/>
  <c r="E39" i="17"/>
  <c r="C38" i="17"/>
  <c r="D39" i="17"/>
  <c r="E37" i="17"/>
  <c r="C41" i="17"/>
  <c r="D41" i="17" s="1"/>
  <c r="E12" i="16"/>
  <c r="I12" i="16" s="1"/>
  <c r="H20" i="16"/>
  <c r="E20" i="16"/>
  <c r="I20" i="16" s="1"/>
  <c r="C40" i="16"/>
  <c r="C38" i="16"/>
  <c r="C36" i="16"/>
  <c r="C41" i="16"/>
  <c r="C39" i="16"/>
  <c r="C37" i="16"/>
  <c r="E16" i="16"/>
  <c r="I16" i="16" s="1"/>
  <c r="H16" i="16"/>
  <c r="E19" i="16"/>
  <c r="I19" i="16" s="1"/>
  <c r="H19" i="16"/>
  <c r="C35" i="16"/>
  <c r="C33" i="16"/>
  <c r="C34" i="16"/>
  <c r="C32" i="16"/>
  <c r="C31" i="16"/>
  <c r="C30" i="16"/>
  <c r="C29" i="16"/>
  <c r="C28" i="16"/>
  <c r="C27" i="16"/>
  <c r="D7" i="16"/>
  <c r="H15" i="16"/>
  <c r="H21" i="16"/>
  <c r="H22" i="16"/>
  <c r="H23" i="16"/>
  <c r="H24" i="16"/>
  <c r="H25" i="16"/>
  <c r="H26" i="16"/>
  <c r="G66" i="25" l="1"/>
  <c r="G65" i="25"/>
  <c r="D65" i="25"/>
  <c r="F58" i="25" s="1"/>
  <c r="C41" i="18"/>
  <c r="E42" i="18"/>
  <c r="D51" i="22"/>
  <c r="C55" i="22"/>
  <c r="B81" i="22"/>
  <c r="B51" i="22"/>
  <c r="D50" i="22"/>
  <c r="C87" i="22"/>
  <c r="E52" i="21"/>
  <c r="I52" i="21" s="1"/>
  <c r="H52" i="21"/>
  <c r="C74" i="21"/>
  <c r="C73" i="21"/>
  <c r="C72" i="21"/>
  <c r="C71" i="21"/>
  <c r="C70" i="21"/>
  <c r="C69" i="21"/>
  <c r="C67" i="21"/>
  <c r="C65" i="21"/>
  <c r="C63" i="21"/>
  <c r="C61" i="21"/>
  <c r="C59" i="21"/>
  <c r="C57" i="21"/>
  <c r="C55" i="21"/>
  <c r="C53" i="21"/>
  <c r="C68" i="21"/>
  <c r="C66" i="21"/>
  <c r="C64" i="21"/>
  <c r="C62" i="21"/>
  <c r="C60" i="21"/>
  <c r="C58" i="21"/>
  <c r="C56" i="21"/>
  <c r="C54" i="21"/>
  <c r="E48" i="21"/>
  <c r="I48" i="21" s="1"/>
  <c r="H48" i="21"/>
  <c r="E45" i="21"/>
  <c r="I45" i="21" s="1"/>
  <c r="H45" i="21"/>
  <c r="E42" i="21"/>
  <c r="I42" i="21" s="1"/>
  <c r="H42" i="21"/>
  <c r="E50" i="21"/>
  <c r="I50" i="21" s="1"/>
  <c r="H50" i="21"/>
  <c r="E47" i="21"/>
  <c r="I47" i="21" s="1"/>
  <c r="H47" i="21"/>
  <c r="E44" i="21"/>
  <c r="I44" i="21" s="1"/>
  <c r="H44" i="21"/>
  <c r="E49" i="21"/>
  <c r="I49" i="21" s="1"/>
  <c r="H49" i="21"/>
  <c r="E46" i="21"/>
  <c r="I46" i="21" s="1"/>
  <c r="H46" i="21"/>
  <c r="E43" i="21"/>
  <c r="I43" i="21" s="1"/>
  <c r="H43" i="21"/>
  <c r="E51" i="21"/>
  <c r="I51" i="21" s="1"/>
  <c r="H51" i="21"/>
  <c r="D40" i="18"/>
  <c r="B46" i="20"/>
  <c r="C46" i="20" s="1"/>
  <c r="B44" i="20"/>
  <c r="C44" i="20" s="1"/>
  <c r="B45" i="20"/>
  <c r="C45" i="20" s="1"/>
  <c r="B43" i="20"/>
  <c r="E55" i="19"/>
  <c r="I55" i="19" s="1"/>
  <c r="H55" i="19"/>
  <c r="E53" i="19"/>
  <c r="I53" i="19" s="1"/>
  <c r="H53" i="19"/>
  <c r="E61" i="19"/>
  <c r="I61" i="19" s="1"/>
  <c r="H61" i="19"/>
  <c r="E58" i="19"/>
  <c r="I58" i="19" s="1"/>
  <c r="H58" i="19"/>
  <c r="E59" i="19"/>
  <c r="I59" i="19" s="1"/>
  <c r="H59" i="19"/>
  <c r="E69" i="19"/>
  <c r="I69" i="19" s="1"/>
  <c r="H69" i="19"/>
  <c r="E73" i="19"/>
  <c r="I73" i="19" s="1"/>
  <c r="H73" i="19"/>
  <c r="E65" i="19"/>
  <c r="I65" i="19" s="1"/>
  <c r="H65" i="19"/>
  <c r="E63" i="19"/>
  <c r="I63" i="19" s="1"/>
  <c r="H63" i="19"/>
  <c r="E60" i="19"/>
  <c r="I60" i="19" s="1"/>
  <c r="H60" i="19"/>
  <c r="E66" i="19"/>
  <c r="I66" i="19" s="1"/>
  <c r="H66" i="19"/>
  <c r="E70" i="19"/>
  <c r="I70" i="19" s="1"/>
  <c r="H70" i="19"/>
  <c r="E74" i="19"/>
  <c r="I74" i="19" s="1"/>
  <c r="H74" i="19"/>
  <c r="E62" i="19"/>
  <c r="I62" i="19" s="1"/>
  <c r="H62" i="19"/>
  <c r="E54" i="19"/>
  <c r="I54" i="19" s="1"/>
  <c r="H54" i="19"/>
  <c r="E67" i="19"/>
  <c r="I67" i="19" s="1"/>
  <c r="H67" i="19"/>
  <c r="E71" i="19"/>
  <c r="I71" i="19" s="1"/>
  <c r="H71" i="19"/>
  <c r="E57" i="19"/>
  <c r="I57" i="19" s="1"/>
  <c r="H57" i="19"/>
  <c r="E56" i="19"/>
  <c r="I56" i="19" s="1"/>
  <c r="H56" i="19"/>
  <c r="E64" i="19"/>
  <c r="I64" i="19" s="1"/>
  <c r="H64" i="19"/>
  <c r="E68" i="19"/>
  <c r="I68" i="19" s="1"/>
  <c r="H68" i="19"/>
  <c r="E72" i="19"/>
  <c r="I72" i="19" s="1"/>
  <c r="H72" i="19"/>
  <c r="B38" i="17"/>
  <c r="B41" i="17" s="1"/>
  <c r="D38" i="17"/>
  <c r="E28" i="16"/>
  <c r="I28" i="16" s="1"/>
  <c r="H28" i="16"/>
  <c r="E38" i="16"/>
  <c r="I38" i="16" s="1"/>
  <c r="H38" i="16"/>
  <c r="E29" i="16"/>
  <c r="I29" i="16" s="1"/>
  <c r="H29" i="16"/>
  <c r="E40" i="16"/>
  <c r="I40" i="16" s="1"/>
  <c r="H40" i="16"/>
  <c r="D8" i="16"/>
  <c r="C51" i="16"/>
  <c r="C49" i="16"/>
  <c r="C47" i="16"/>
  <c r="C45" i="16"/>
  <c r="C43" i="16"/>
  <c r="C52" i="16"/>
  <c r="C50" i="16"/>
  <c r="C48" i="16"/>
  <c r="C46" i="16"/>
  <c r="C44" i="16"/>
  <c r="C42" i="16"/>
  <c r="E30" i="16"/>
  <c r="I30" i="16" s="1"/>
  <c r="H30" i="16"/>
  <c r="E33" i="16"/>
  <c r="I33" i="16" s="1"/>
  <c r="H33" i="16"/>
  <c r="E41" i="16"/>
  <c r="I41" i="16" s="1"/>
  <c r="H41" i="16"/>
  <c r="E32" i="16"/>
  <c r="I32" i="16" s="1"/>
  <c r="H32" i="16"/>
  <c r="E37" i="16"/>
  <c r="I37" i="16" s="1"/>
  <c r="H37" i="16"/>
  <c r="E34" i="16"/>
  <c r="I34" i="16" s="1"/>
  <c r="H34" i="16"/>
  <c r="E39" i="16"/>
  <c r="I39" i="16" s="1"/>
  <c r="H39" i="16"/>
  <c r="E27" i="16"/>
  <c r="I27" i="16" s="1"/>
  <c r="H27" i="16"/>
  <c r="E31" i="16"/>
  <c r="I31" i="16" s="1"/>
  <c r="H31" i="16"/>
  <c r="E35" i="16"/>
  <c r="I35" i="16" s="1"/>
  <c r="H35" i="16"/>
  <c r="E36" i="16"/>
  <c r="I36" i="16" s="1"/>
  <c r="H36" i="16"/>
  <c r="E76" i="25" l="1"/>
  <c r="F70" i="25"/>
  <c r="F73" i="25" s="1"/>
  <c r="F75" i="25" s="1"/>
  <c r="E58" i="25"/>
  <c r="E75" i="25" s="1"/>
  <c r="D81" i="22"/>
  <c r="C81" i="22"/>
  <c r="E81" i="22" s="1"/>
  <c r="C89" i="22"/>
  <c r="C91" i="22" s="1"/>
  <c r="A91" i="22" s="1"/>
  <c r="B87" i="22"/>
  <c r="B89" i="22" s="1"/>
  <c r="B91" i="22" s="1"/>
  <c r="F55" i="22"/>
  <c r="A56" i="22" s="1"/>
  <c r="E54" i="21"/>
  <c r="I54" i="21" s="1"/>
  <c r="H54" i="21"/>
  <c r="E61" i="21"/>
  <c r="I61" i="21" s="1"/>
  <c r="H61" i="21"/>
  <c r="E73" i="21"/>
  <c r="I73" i="21" s="1"/>
  <c r="H73" i="21"/>
  <c r="E56" i="21"/>
  <c r="I56" i="21" s="1"/>
  <c r="H56" i="21"/>
  <c r="E64" i="21"/>
  <c r="I64" i="21" s="1"/>
  <c r="H64" i="21"/>
  <c r="E55" i="21"/>
  <c r="I55" i="21" s="1"/>
  <c r="H55" i="21"/>
  <c r="E63" i="21"/>
  <c r="I63" i="21" s="1"/>
  <c r="H63" i="21"/>
  <c r="E70" i="21"/>
  <c r="I70" i="21" s="1"/>
  <c r="H70" i="21"/>
  <c r="E74" i="21"/>
  <c r="I74" i="21" s="1"/>
  <c r="H74" i="21"/>
  <c r="E53" i="21"/>
  <c r="I53" i="21" s="1"/>
  <c r="H53" i="21"/>
  <c r="E66" i="21"/>
  <c r="I66" i="21" s="1"/>
  <c r="H66" i="21"/>
  <c r="E65" i="21"/>
  <c r="I65" i="21" s="1"/>
  <c r="H65" i="21"/>
  <c r="E71" i="21"/>
  <c r="I71" i="21" s="1"/>
  <c r="H71" i="21"/>
  <c r="E62" i="21"/>
  <c r="I62" i="21" s="1"/>
  <c r="H62" i="21"/>
  <c r="E69" i="21"/>
  <c r="I69" i="21" s="1"/>
  <c r="H69" i="21"/>
  <c r="E58" i="21"/>
  <c r="I58" i="21" s="1"/>
  <c r="H58" i="21"/>
  <c r="E57" i="21"/>
  <c r="I57" i="21" s="1"/>
  <c r="H57" i="21"/>
  <c r="E60" i="21"/>
  <c r="I60" i="21" s="1"/>
  <c r="H60" i="21"/>
  <c r="E68" i="21"/>
  <c r="I68" i="21" s="1"/>
  <c r="H68" i="21"/>
  <c r="E59" i="21"/>
  <c r="I59" i="21" s="1"/>
  <c r="H59" i="21"/>
  <c r="E67" i="21"/>
  <c r="I67" i="21" s="1"/>
  <c r="H67" i="21"/>
  <c r="E72" i="21"/>
  <c r="I72" i="21" s="1"/>
  <c r="H72" i="21"/>
  <c r="C44" i="18"/>
  <c r="B41" i="18"/>
  <c r="B44" i="18" s="1"/>
  <c r="C43" i="20"/>
  <c r="C47" i="20" s="1"/>
  <c r="B47" i="20"/>
  <c r="B45" i="17"/>
  <c r="C45" i="17" s="1"/>
  <c r="B43" i="17"/>
  <c r="B46" i="17"/>
  <c r="C46" i="17" s="1"/>
  <c r="B44" i="17"/>
  <c r="C44" i="17" s="1"/>
  <c r="E42" i="16"/>
  <c r="I42" i="16" s="1"/>
  <c r="H42" i="16"/>
  <c r="E47" i="16"/>
  <c r="I47" i="16" s="1"/>
  <c r="H47" i="16"/>
  <c r="E44" i="16"/>
  <c r="I44" i="16" s="1"/>
  <c r="H44" i="16"/>
  <c r="E52" i="16"/>
  <c r="I52" i="16" s="1"/>
  <c r="H52" i="16"/>
  <c r="E49" i="16"/>
  <c r="I49" i="16" s="1"/>
  <c r="H49" i="16"/>
  <c r="E46" i="16"/>
  <c r="I46" i="16" s="1"/>
  <c r="H46" i="16"/>
  <c r="E43" i="16"/>
  <c r="I43" i="16" s="1"/>
  <c r="H43" i="16"/>
  <c r="E51" i="16"/>
  <c r="I51" i="16" s="1"/>
  <c r="H51" i="16"/>
  <c r="E50" i="16"/>
  <c r="I50" i="16" s="1"/>
  <c r="H50" i="16"/>
  <c r="E48" i="16"/>
  <c r="I48" i="16" s="1"/>
  <c r="H48" i="16"/>
  <c r="E45" i="16"/>
  <c r="I45" i="16" s="1"/>
  <c r="H45" i="16"/>
  <c r="C74" i="16"/>
  <c r="C73" i="16"/>
  <c r="C72" i="16"/>
  <c r="C71" i="16"/>
  <c r="C70" i="16"/>
  <c r="C69" i="16"/>
  <c r="C68" i="16"/>
  <c r="C65" i="16"/>
  <c r="C66" i="16"/>
  <c r="C57" i="16"/>
  <c r="C55" i="16"/>
  <c r="C53" i="16"/>
  <c r="C64" i="16"/>
  <c r="C62" i="16"/>
  <c r="C60" i="16"/>
  <c r="C58" i="16"/>
  <c r="C56" i="16"/>
  <c r="C54" i="16"/>
  <c r="C67" i="16"/>
  <c r="C63" i="16"/>
  <c r="C61" i="16"/>
  <c r="C59" i="16"/>
  <c r="C75" i="25" l="1"/>
  <c r="A75" i="25"/>
  <c r="F56" i="22"/>
  <c r="C56" i="22" s="1"/>
  <c r="C58" i="22" s="1"/>
  <c r="E69" i="22" s="1"/>
  <c r="B49" i="18"/>
  <c r="C49" i="18" s="1"/>
  <c r="B46" i="18"/>
  <c r="B47" i="18"/>
  <c r="C47" i="18" s="1"/>
  <c r="B48" i="18"/>
  <c r="C48" i="18" s="1"/>
  <c r="D44" i="18"/>
  <c r="B78" i="20"/>
  <c r="B48" i="20"/>
  <c r="D47" i="20"/>
  <c r="C84" i="20"/>
  <c r="C48" i="20"/>
  <c r="B47" i="17"/>
  <c r="C43" i="17"/>
  <c r="C47" i="17" s="1"/>
  <c r="E54" i="16"/>
  <c r="I54" i="16" s="1"/>
  <c r="H54" i="16"/>
  <c r="E57" i="16"/>
  <c r="I57" i="16" s="1"/>
  <c r="H57" i="16"/>
  <c r="E73" i="16"/>
  <c r="I73" i="16" s="1"/>
  <c r="H73" i="16"/>
  <c r="E56" i="16"/>
  <c r="I56" i="16" s="1"/>
  <c r="H56" i="16"/>
  <c r="E64" i="16"/>
  <c r="I64" i="16" s="1"/>
  <c r="H64" i="16"/>
  <c r="E66" i="16"/>
  <c r="I66" i="16" s="1"/>
  <c r="H66" i="16"/>
  <c r="E70" i="16"/>
  <c r="I70" i="16" s="1"/>
  <c r="H70" i="16"/>
  <c r="E74" i="16"/>
  <c r="I74" i="16" s="1"/>
  <c r="H74" i="16"/>
  <c r="E63" i="16"/>
  <c r="I63" i="16" s="1"/>
  <c r="H63" i="16"/>
  <c r="E58" i="16"/>
  <c r="I58" i="16" s="1"/>
  <c r="H58" i="16"/>
  <c r="E53" i="16"/>
  <c r="I53" i="16" s="1"/>
  <c r="H53" i="16"/>
  <c r="E65" i="16"/>
  <c r="I65" i="16" s="1"/>
  <c r="H65" i="16"/>
  <c r="E71" i="16"/>
  <c r="I71" i="16" s="1"/>
  <c r="H71" i="16"/>
  <c r="E59" i="16"/>
  <c r="I59" i="16" s="1"/>
  <c r="H59" i="16"/>
  <c r="E62" i="16"/>
  <c r="I62" i="16" s="1"/>
  <c r="H62" i="16"/>
  <c r="E69" i="16"/>
  <c r="I69" i="16" s="1"/>
  <c r="H69" i="16"/>
  <c r="E61" i="16"/>
  <c r="I61" i="16" s="1"/>
  <c r="H61" i="16"/>
  <c r="E67" i="16"/>
  <c r="I67" i="16" s="1"/>
  <c r="H67" i="16"/>
  <c r="E60" i="16"/>
  <c r="I60" i="16" s="1"/>
  <c r="H60" i="16"/>
  <c r="E55" i="16"/>
  <c r="I55" i="16" s="1"/>
  <c r="H55" i="16"/>
  <c r="E68" i="16"/>
  <c r="I68" i="16" s="1"/>
  <c r="H68" i="16"/>
  <c r="E72" i="16"/>
  <c r="I72" i="16" s="1"/>
  <c r="H72" i="16"/>
  <c r="B82" i="25" l="1"/>
  <c r="D75" i="25"/>
  <c r="C76" i="25"/>
  <c r="D76" i="25" s="1"/>
  <c r="E71" i="22"/>
  <c r="E72" i="22"/>
  <c r="C60" i="22"/>
  <c r="D60" i="22" s="1"/>
  <c r="E68" i="22"/>
  <c r="E74" i="22"/>
  <c r="B50" i="18"/>
  <c r="C46" i="18"/>
  <c r="C50" i="18" s="1"/>
  <c r="C52" i="20"/>
  <c r="D48" i="20"/>
  <c r="D78" i="20"/>
  <c r="C78" i="20"/>
  <c r="E78" i="20" s="1"/>
  <c r="C86" i="20"/>
  <c r="C88" i="20" s="1"/>
  <c r="A88" i="20" s="1"/>
  <c r="B84" i="20"/>
  <c r="B86" i="20" s="1"/>
  <c r="B88" i="20" s="1"/>
  <c r="D47" i="17"/>
  <c r="C84" i="17"/>
  <c r="C48" i="17"/>
  <c r="B78" i="17"/>
  <c r="B48" i="17"/>
  <c r="E97" i="15"/>
  <c r="B97" i="15"/>
  <c r="C96" i="15"/>
  <c r="E94" i="15"/>
  <c r="C93" i="15"/>
  <c r="B77" i="15"/>
  <c r="D77" i="15" s="1"/>
  <c r="G72" i="15"/>
  <c r="B71" i="15"/>
  <c r="B69" i="15"/>
  <c r="G48" i="15" s="1"/>
  <c r="H48" i="15" s="1"/>
  <c r="B68" i="15"/>
  <c r="A68" i="15" s="1"/>
  <c r="G50" i="15"/>
  <c r="F49" i="15"/>
  <c r="C49" i="15"/>
  <c r="C42" i="15"/>
  <c r="B40" i="15"/>
  <c r="C40" i="15" s="1"/>
  <c r="B39" i="15"/>
  <c r="B34" i="15"/>
  <c r="B37" i="15" s="1"/>
  <c r="D33" i="15"/>
  <c r="C33" i="15"/>
  <c r="C85" i="15" s="1"/>
  <c r="B85" i="15" s="1"/>
  <c r="D32" i="15"/>
  <c r="C32" i="15"/>
  <c r="C31" i="15"/>
  <c r="D30" i="15"/>
  <c r="C30" i="15"/>
  <c r="D29" i="15"/>
  <c r="C29" i="15"/>
  <c r="D28" i="15"/>
  <c r="C28" i="15"/>
  <c r="D27" i="15"/>
  <c r="C27" i="15"/>
  <c r="D26" i="15"/>
  <c r="C26" i="15"/>
  <c r="D25" i="15"/>
  <c r="C25" i="15"/>
  <c r="D24" i="15"/>
  <c r="C24" i="15"/>
  <c r="D23" i="15"/>
  <c r="C23" i="15"/>
  <c r="D22" i="15"/>
  <c r="C22" i="15"/>
  <c r="D21" i="15"/>
  <c r="C21" i="15"/>
  <c r="D20" i="15"/>
  <c r="C20" i="15"/>
  <c r="D19" i="15"/>
  <c r="C19" i="15"/>
  <c r="D18" i="15"/>
  <c r="C18" i="15"/>
  <c r="D17" i="15"/>
  <c r="C17" i="15"/>
  <c r="C87" i="15" s="1"/>
  <c r="B87" i="15" s="1"/>
  <c r="D16" i="15"/>
  <c r="C16" i="15"/>
  <c r="D15" i="15"/>
  <c r="C15" i="15"/>
  <c r="D14" i="15"/>
  <c r="C14" i="15"/>
  <c r="C34" i="15" s="1"/>
  <c r="B11" i="15"/>
  <c r="B76" i="15" s="1"/>
  <c r="D10" i="15"/>
  <c r="C10" i="15"/>
  <c r="D9" i="15"/>
  <c r="C9" i="15"/>
  <c r="D8" i="15"/>
  <c r="C8" i="15"/>
  <c r="D7" i="15"/>
  <c r="C7" i="15"/>
  <c r="D6" i="15"/>
  <c r="C6" i="15"/>
  <c r="D5" i="15"/>
  <c r="C5" i="15"/>
  <c r="D4" i="15"/>
  <c r="C4" i="15"/>
  <c r="C11" i="15" s="1"/>
  <c r="C3" i="15"/>
  <c r="D82" i="25" l="1"/>
  <c r="C82" i="25"/>
  <c r="B83" i="25"/>
  <c r="C61" i="22"/>
  <c r="D61" i="22" s="1"/>
  <c r="D50" i="18"/>
  <c r="C51" i="18"/>
  <c r="C87" i="18"/>
  <c r="B51" i="18"/>
  <c r="B81" i="18"/>
  <c r="F52" i="20"/>
  <c r="A53" i="20" s="1"/>
  <c r="C52" i="17"/>
  <c r="D48" i="17"/>
  <c r="C86" i="17"/>
  <c r="C88" i="17" s="1"/>
  <c r="A88" i="17" s="1"/>
  <c r="B84" i="17"/>
  <c r="B86" i="17" s="1"/>
  <c r="B88" i="17" s="1"/>
  <c r="D78" i="17"/>
  <c r="C78" i="17"/>
  <c r="E78" i="17" s="1"/>
  <c r="D31" i="15"/>
  <c r="D3" i="15"/>
  <c r="D34" i="15"/>
  <c r="C76" i="15"/>
  <c r="A37" i="15"/>
  <c r="C37" i="15"/>
  <c r="C77" i="15"/>
  <c r="C83" i="25" l="1"/>
  <c r="C98" i="25" s="1"/>
  <c r="B84" i="25"/>
  <c r="D83" i="25"/>
  <c r="C62" i="22"/>
  <c r="G61" i="22"/>
  <c r="F53" i="20"/>
  <c r="C53" i="20" s="1"/>
  <c r="C55" i="20" s="1"/>
  <c r="E65" i="20" s="1"/>
  <c r="D81" i="18"/>
  <c r="C81" i="18"/>
  <c r="E81" i="18" s="1"/>
  <c r="C89" i="18"/>
  <c r="C91" i="18" s="1"/>
  <c r="A91" i="18" s="1"/>
  <c r="B87" i="18"/>
  <c r="B89" i="18" s="1"/>
  <c r="B91" i="18" s="1"/>
  <c r="C55" i="18"/>
  <c r="F55" i="18" s="1"/>
  <c r="D51" i="18"/>
  <c r="F52" i="17"/>
  <c r="A53" i="17" s="1"/>
  <c r="D39" i="15"/>
  <c r="C38" i="15"/>
  <c r="E37" i="15"/>
  <c r="C41" i="15"/>
  <c r="D41" i="15" s="1"/>
  <c r="E39" i="15"/>
  <c r="D40" i="15"/>
  <c r="B98" i="25" l="1"/>
  <c r="C101" i="25"/>
  <c r="A101" i="25" s="1"/>
  <c r="E99" i="25"/>
  <c r="E101" i="25" s="1"/>
  <c r="G62" i="22"/>
  <c r="D62" i="22"/>
  <c r="C63" i="22"/>
  <c r="E71" i="20"/>
  <c r="C58" i="20"/>
  <c r="D58" i="20" s="1"/>
  <c r="E69" i="20"/>
  <c r="E66" i="20"/>
  <c r="C57" i="20"/>
  <c r="D57" i="20" s="1"/>
  <c r="E68" i="20"/>
  <c r="A56" i="18"/>
  <c r="F56" i="18"/>
  <c r="C56" i="18" s="1"/>
  <c r="C58" i="18" s="1"/>
  <c r="F53" i="17"/>
  <c r="C53" i="17" s="1"/>
  <c r="C55" i="17" s="1"/>
  <c r="E66" i="17" s="1"/>
  <c r="B38" i="15"/>
  <c r="B41" i="15" s="1"/>
  <c r="D38" i="15"/>
  <c r="C64" i="22" l="1"/>
  <c r="D63" i="22"/>
  <c r="G63" i="22"/>
  <c r="G58" i="20"/>
  <c r="C59" i="20"/>
  <c r="G59" i="20" s="1"/>
  <c r="E71" i="18"/>
  <c r="E72" i="18"/>
  <c r="E69" i="18"/>
  <c r="E74" i="18"/>
  <c r="C60" i="18"/>
  <c r="D60" i="18" s="1"/>
  <c r="E68" i="18"/>
  <c r="C57" i="17"/>
  <c r="D57" i="17" s="1"/>
  <c r="C58" i="17"/>
  <c r="D58" i="17" s="1"/>
  <c r="E65" i="17"/>
  <c r="E68" i="17"/>
  <c r="E71" i="17"/>
  <c r="C59" i="17"/>
  <c r="E69" i="17"/>
  <c r="G58" i="17"/>
  <c r="B45" i="15"/>
  <c r="C45" i="15" s="1"/>
  <c r="B46" i="15"/>
  <c r="C46" i="15" s="1"/>
  <c r="B44" i="15"/>
  <c r="C44" i="15" s="1"/>
  <c r="B43" i="15"/>
  <c r="D64" i="22" l="1"/>
  <c r="G64" i="22"/>
  <c r="C65" i="22"/>
  <c r="D59" i="20"/>
  <c r="C60" i="20"/>
  <c r="C61" i="20" s="1"/>
  <c r="D61" i="20" s="1"/>
  <c r="C62" i="20"/>
  <c r="D62" i="20" s="1"/>
  <c r="C61" i="18"/>
  <c r="G61" i="18" s="1"/>
  <c r="C60" i="17"/>
  <c r="C61" i="17" s="1"/>
  <c r="D59" i="17"/>
  <c r="G59" i="17"/>
  <c r="B47" i="15"/>
  <c r="C43" i="15"/>
  <c r="C47" i="15" s="1"/>
  <c r="G65" i="22" l="1"/>
  <c r="D65" i="22"/>
  <c r="C66" i="22"/>
  <c r="C63" i="20"/>
  <c r="G60" i="20"/>
  <c r="D60" i="20"/>
  <c r="G61" i="20"/>
  <c r="G62" i="20"/>
  <c r="D61" i="18"/>
  <c r="C62" i="18"/>
  <c r="C63" i="18" s="1"/>
  <c r="D63" i="18" s="1"/>
  <c r="D63" i="20"/>
  <c r="F55" i="20" s="1"/>
  <c r="G63" i="20"/>
  <c r="D61" i="17"/>
  <c r="G61" i="17"/>
  <c r="C62" i="17"/>
  <c r="G62" i="17" s="1"/>
  <c r="G60" i="17"/>
  <c r="D60" i="17"/>
  <c r="B78" i="15"/>
  <c r="B48" i="15"/>
  <c r="D47" i="15"/>
  <c r="C84" i="15"/>
  <c r="C48" i="15"/>
  <c r="D66" i="22" l="1"/>
  <c r="F58" i="22" s="1"/>
  <c r="G66" i="22"/>
  <c r="E76" i="22" s="1"/>
  <c r="E73" i="20"/>
  <c r="C64" i="18"/>
  <c r="G64" i="18" s="1"/>
  <c r="G62" i="18"/>
  <c r="D62" i="18"/>
  <c r="G63" i="18"/>
  <c r="F67" i="20"/>
  <c r="F70" i="20" s="1"/>
  <c r="F72" i="20" s="1"/>
  <c r="E55" i="20"/>
  <c r="E72" i="20" s="1"/>
  <c r="C63" i="17"/>
  <c r="G63" i="17" s="1"/>
  <c r="E73" i="17" s="1"/>
  <c r="D62" i="17"/>
  <c r="D78" i="15"/>
  <c r="C78" i="15"/>
  <c r="E78" i="15" s="1"/>
  <c r="C52" i="15"/>
  <c r="D48" i="15"/>
  <c r="B84" i="15"/>
  <c r="B86" i="15" s="1"/>
  <c r="B88" i="15" s="1"/>
  <c r="C86" i="15"/>
  <c r="C88" i="15" s="1"/>
  <c r="A88" i="15" s="1"/>
  <c r="F70" i="22" l="1"/>
  <c r="F73" i="22" s="1"/>
  <c r="F75" i="22" s="1"/>
  <c r="E58" i="22"/>
  <c r="E75" i="22" s="1"/>
  <c r="C65" i="18"/>
  <c r="C66" i="18" s="1"/>
  <c r="D66" i="18" s="1"/>
  <c r="D64" i="18"/>
  <c r="C72" i="20"/>
  <c r="A72" i="20"/>
  <c r="D63" i="17"/>
  <c r="F55" i="17" s="1"/>
  <c r="F67" i="17" s="1"/>
  <c r="F70" i="17" s="1"/>
  <c r="F72" i="17" s="1"/>
  <c r="F52" i="15"/>
  <c r="A53" i="15" s="1"/>
  <c r="A75" i="22" l="1"/>
  <c r="C75" i="22"/>
  <c r="G66" i="18"/>
  <c r="G65" i="18"/>
  <c r="D65" i="18"/>
  <c r="F58" i="18" s="1"/>
  <c r="F70" i="18" s="1"/>
  <c r="B79" i="20"/>
  <c r="D72" i="20"/>
  <c r="C73" i="20"/>
  <c r="D73" i="20" s="1"/>
  <c r="E55" i="17"/>
  <c r="E72" i="17" s="1"/>
  <c r="C72" i="17"/>
  <c r="A72" i="17"/>
  <c r="F53" i="15"/>
  <c r="C53" i="15" s="1"/>
  <c r="C55" i="15" s="1"/>
  <c r="D75" i="22" l="1"/>
  <c r="C76" i="22"/>
  <c r="D76" i="22" s="1"/>
  <c r="B82" i="22"/>
  <c r="F73" i="18"/>
  <c r="F75" i="18" s="1"/>
  <c r="C75" i="18" s="1"/>
  <c r="E76" i="18"/>
  <c r="E58" i="18"/>
  <c r="E75" i="18" s="1"/>
  <c r="D79" i="20"/>
  <c r="C79" i="20"/>
  <c r="B80" i="20"/>
  <c r="B79" i="17"/>
  <c r="D72" i="17"/>
  <c r="C73" i="17"/>
  <c r="D73" i="17" s="1"/>
  <c r="E65" i="15"/>
  <c r="C57" i="15"/>
  <c r="D57" i="15" s="1"/>
  <c r="E68" i="15"/>
  <c r="E69" i="15"/>
  <c r="E71" i="15"/>
  <c r="C58" i="15"/>
  <c r="E66" i="15"/>
  <c r="B83" i="22" l="1"/>
  <c r="D82" i="22"/>
  <c r="C82" i="22"/>
  <c r="A75" i="18"/>
  <c r="C80" i="20"/>
  <c r="C95" i="20" s="1"/>
  <c r="B81" i="20"/>
  <c r="D80" i="20"/>
  <c r="B82" i="18"/>
  <c r="D75" i="18"/>
  <c r="C76" i="18"/>
  <c r="D76" i="18" s="1"/>
  <c r="D79" i="17"/>
  <c r="C79" i="17"/>
  <c r="B80" i="17"/>
  <c r="G58" i="15"/>
  <c r="D58" i="15"/>
  <c r="C61" i="15"/>
  <c r="C62" i="15" s="1"/>
  <c r="C59" i="15"/>
  <c r="C60" i="15"/>
  <c r="B84" i="22" l="1"/>
  <c r="C83" i="22"/>
  <c r="C98" i="22" s="1"/>
  <c r="D83" i="22"/>
  <c r="B95" i="20"/>
  <c r="C98" i="20"/>
  <c r="A98" i="20" s="1"/>
  <c r="E96" i="20"/>
  <c r="E98" i="20" s="1"/>
  <c r="D82" i="18"/>
  <c r="C82" i="18"/>
  <c r="B83" i="18"/>
  <c r="C80" i="17"/>
  <c r="C95" i="17" s="1"/>
  <c r="B81" i="17"/>
  <c r="D80" i="17"/>
  <c r="G62" i="15"/>
  <c r="D62" i="15"/>
  <c r="D60" i="15"/>
  <c r="G60" i="15"/>
  <c r="G59" i="15"/>
  <c r="D59" i="15"/>
  <c r="C63" i="15"/>
  <c r="D61" i="15"/>
  <c r="G61" i="15"/>
  <c r="C101" i="22" l="1"/>
  <c r="A101" i="22" s="1"/>
  <c r="E99" i="22"/>
  <c r="E101" i="22" s="1"/>
  <c r="B98" i="22"/>
  <c r="C83" i="18"/>
  <c r="C98" i="18" s="1"/>
  <c r="B84" i="18"/>
  <c r="D83" i="18"/>
  <c r="B95" i="17"/>
  <c r="C98" i="17"/>
  <c r="A98" i="17" s="1"/>
  <c r="E96" i="17"/>
  <c r="E98" i="17" s="1"/>
  <c r="F55" i="15"/>
  <c r="G63" i="15"/>
  <c r="E73" i="15" s="1"/>
  <c r="D63" i="15"/>
  <c r="B98" i="18" l="1"/>
  <c r="C101" i="18"/>
  <c r="A101" i="18" s="1"/>
  <c r="E99" i="18"/>
  <c r="E101" i="18" s="1"/>
  <c r="F67" i="15"/>
  <c r="F70" i="15" s="1"/>
  <c r="F72" i="15" s="1"/>
  <c r="E55" i="15"/>
  <c r="E72" i="15" s="1"/>
  <c r="C72" i="15" l="1"/>
  <c r="A72" i="15"/>
  <c r="B79" i="15" l="1"/>
  <c r="D72" i="15"/>
  <c r="C73" i="15"/>
  <c r="D73" i="15" s="1"/>
  <c r="D79" i="15" l="1"/>
  <c r="C79" i="15"/>
  <c r="B80" i="15"/>
  <c r="B81" i="15" l="1"/>
  <c r="D80" i="15"/>
  <c r="C80" i="15"/>
  <c r="C95" i="15" s="1"/>
  <c r="E96" i="15" l="1"/>
  <c r="E98" i="15" s="1"/>
  <c r="B95" i="15"/>
  <c r="C98" i="15"/>
  <c r="A98" i="15" s="1"/>
  <c r="E97" i="14" l="1"/>
  <c r="B97" i="14"/>
  <c r="C96" i="14"/>
  <c r="E94" i="14"/>
  <c r="C93" i="14"/>
  <c r="B77" i="14"/>
  <c r="D77" i="14" s="1"/>
  <c r="B76" i="14"/>
  <c r="C76" i="14" s="1"/>
  <c r="G72" i="14"/>
  <c r="B71" i="14"/>
  <c r="B69" i="14"/>
  <c r="G48" i="14" s="1"/>
  <c r="H48" i="14" s="1"/>
  <c r="B68" i="14"/>
  <c r="G50" i="14"/>
  <c r="C49" i="14"/>
  <c r="C42" i="14"/>
  <c r="B40" i="14"/>
  <c r="C40" i="14" s="1"/>
  <c r="B39" i="14"/>
  <c r="B34" i="14"/>
  <c r="B37" i="14" s="1"/>
  <c r="D33" i="14"/>
  <c r="C33" i="14"/>
  <c r="C85" i="14" s="1"/>
  <c r="B85" i="14" s="1"/>
  <c r="C32" i="14"/>
  <c r="D32" i="14" s="1"/>
  <c r="C31" i="14"/>
  <c r="D30" i="14"/>
  <c r="C30" i="14"/>
  <c r="D29" i="14"/>
  <c r="C29" i="14"/>
  <c r="D28" i="14"/>
  <c r="C28" i="14"/>
  <c r="D27" i="14"/>
  <c r="C27" i="14"/>
  <c r="D26" i="14"/>
  <c r="C26" i="14"/>
  <c r="D25" i="14"/>
  <c r="C25" i="14"/>
  <c r="D24" i="14"/>
  <c r="C24" i="14"/>
  <c r="D23" i="14"/>
  <c r="C23" i="14"/>
  <c r="D22" i="14"/>
  <c r="C22" i="14"/>
  <c r="D21" i="14"/>
  <c r="C21" i="14"/>
  <c r="D20" i="14"/>
  <c r="C20" i="14"/>
  <c r="D19" i="14"/>
  <c r="C19" i="14"/>
  <c r="D18" i="14"/>
  <c r="C18" i="14"/>
  <c r="D17" i="14"/>
  <c r="C17" i="14"/>
  <c r="C87" i="14" s="1"/>
  <c r="B87" i="14" s="1"/>
  <c r="D16" i="14"/>
  <c r="C16" i="14"/>
  <c r="D15" i="14"/>
  <c r="C15" i="14"/>
  <c r="D14" i="14"/>
  <c r="C14" i="14"/>
  <c r="B11" i="14"/>
  <c r="D10" i="14"/>
  <c r="C10" i="14"/>
  <c r="D9" i="14"/>
  <c r="C9" i="14"/>
  <c r="D8" i="14"/>
  <c r="C8" i="14"/>
  <c r="D7" i="14"/>
  <c r="C7" i="14"/>
  <c r="D6" i="14"/>
  <c r="C6" i="14"/>
  <c r="D5" i="14"/>
  <c r="C5" i="14"/>
  <c r="D4" i="14"/>
  <c r="C4" i="14"/>
  <c r="C3" i="14"/>
  <c r="C11" i="14" s="1"/>
  <c r="D3" i="14" s="1"/>
  <c r="C34" i="14" l="1"/>
  <c r="F49" i="14"/>
  <c r="A37" i="14"/>
  <c r="C37" i="14"/>
  <c r="D40" i="14" s="1"/>
  <c r="A68" i="14"/>
  <c r="C77" i="14"/>
  <c r="D31" i="14"/>
  <c r="D34" i="14" s="1"/>
  <c r="E94" i="13"/>
  <c r="B94" i="13"/>
  <c r="C93" i="13"/>
  <c r="E91" i="13"/>
  <c r="C90" i="13"/>
  <c r="B74" i="13"/>
  <c r="G69" i="13"/>
  <c r="B68" i="13"/>
  <c r="B66" i="13"/>
  <c r="G48" i="13" s="1"/>
  <c r="B65" i="13"/>
  <c r="F49" i="13" s="1"/>
  <c r="G50" i="13"/>
  <c r="C49" i="13"/>
  <c r="C42" i="13"/>
  <c r="B40" i="13"/>
  <c r="C40" i="13" s="1"/>
  <c r="B39" i="13"/>
  <c r="C34" i="13"/>
  <c r="B34" i="13"/>
  <c r="B37" i="13" s="1"/>
  <c r="D33" i="13"/>
  <c r="C33" i="13"/>
  <c r="C82" i="13" s="1"/>
  <c r="B82" i="13" s="1"/>
  <c r="D32" i="13"/>
  <c r="C32" i="13"/>
  <c r="C31" i="13"/>
  <c r="D30" i="13"/>
  <c r="C30" i="13"/>
  <c r="D29" i="13"/>
  <c r="C29" i="13"/>
  <c r="D28" i="13"/>
  <c r="C28" i="13"/>
  <c r="D27" i="13"/>
  <c r="C27" i="13"/>
  <c r="D26" i="13"/>
  <c r="C26" i="13"/>
  <c r="D25" i="13"/>
  <c r="C25" i="13"/>
  <c r="D24" i="13"/>
  <c r="C24" i="13"/>
  <c r="D23" i="13"/>
  <c r="C23" i="13"/>
  <c r="D22" i="13"/>
  <c r="C22" i="13"/>
  <c r="D21" i="13"/>
  <c r="C21" i="13"/>
  <c r="D20" i="13"/>
  <c r="C20" i="13"/>
  <c r="D19" i="13"/>
  <c r="C19" i="13"/>
  <c r="D18" i="13"/>
  <c r="C18" i="13"/>
  <c r="D17" i="13"/>
  <c r="C17" i="13"/>
  <c r="C84" i="13" s="1"/>
  <c r="B84" i="13" s="1"/>
  <c r="D16" i="13"/>
  <c r="C16" i="13"/>
  <c r="D15" i="13"/>
  <c r="C15" i="13"/>
  <c r="D14" i="13"/>
  <c r="C14" i="13"/>
  <c r="C11" i="13"/>
  <c r="B11" i="13"/>
  <c r="B73" i="13" s="1"/>
  <c r="D10" i="13"/>
  <c r="C10" i="13"/>
  <c r="D9" i="13"/>
  <c r="C9" i="13"/>
  <c r="D8" i="13"/>
  <c r="C8" i="13"/>
  <c r="D7" i="13"/>
  <c r="C7" i="13"/>
  <c r="D6" i="13"/>
  <c r="C6" i="13"/>
  <c r="D5" i="13"/>
  <c r="C5" i="13"/>
  <c r="D4" i="13"/>
  <c r="C4" i="13"/>
  <c r="D3" i="13"/>
  <c r="C3" i="13"/>
  <c r="E39" i="14" l="1"/>
  <c r="C38" i="14"/>
  <c r="C41" i="14" s="1"/>
  <c r="D41" i="14" s="1"/>
  <c r="D39" i="14"/>
  <c r="E37" i="14"/>
  <c r="C73" i="13"/>
  <c r="D74" i="13"/>
  <c r="A37" i="13"/>
  <c r="C37" i="13"/>
  <c r="D40" i="13" s="1"/>
  <c r="A65" i="13"/>
  <c r="C74" i="13"/>
  <c r="D31" i="13"/>
  <c r="D34" i="13" s="1"/>
  <c r="E94" i="12"/>
  <c r="B94" i="12"/>
  <c r="C93" i="12"/>
  <c r="C90" i="12"/>
  <c r="B74" i="12"/>
  <c r="D74" i="12" s="1"/>
  <c r="G69" i="12"/>
  <c r="B68" i="12"/>
  <c r="B66" i="12"/>
  <c r="G48" i="12" s="1"/>
  <c r="B65" i="12"/>
  <c r="A65" i="12" s="1"/>
  <c r="G50" i="12"/>
  <c r="F49" i="12"/>
  <c r="C49" i="12"/>
  <c r="C42" i="12"/>
  <c r="B40" i="12"/>
  <c r="C40" i="12" s="1"/>
  <c r="B39" i="12"/>
  <c r="B34" i="12"/>
  <c r="B37" i="12" s="1"/>
  <c r="D33" i="12"/>
  <c r="C33" i="12"/>
  <c r="C82" i="12" s="1"/>
  <c r="B82" i="12" s="1"/>
  <c r="D32" i="12"/>
  <c r="C32" i="12"/>
  <c r="C31" i="12"/>
  <c r="D30" i="12"/>
  <c r="C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C19" i="12"/>
  <c r="D18" i="12"/>
  <c r="C18" i="12"/>
  <c r="D17" i="12"/>
  <c r="C17" i="12"/>
  <c r="C84" i="12" s="1"/>
  <c r="B84" i="12" s="1"/>
  <c r="D16" i="12"/>
  <c r="C16" i="12"/>
  <c r="D15" i="12"/>
  <c r="C15" i="12"/>
  <c r="D14" i="12"/>
  <c r="C14" i="12"/>
  <c r="C34" i="12" s="1"/>
  <c r="B11" i="12"/>
  <c r="B73" i="12" s="1"/>
  <c r="D10" i="12"/>
  <c r="C10" i="12"/>
  <c r="D9" i="12"/>
  <c r="C9" i="12"/>
  <c r="D8" i="12"/>
  <c r="C8" i="12"/>
  <c r="D7" i="12"/>
  <c r="C7" i="12"/>
  <c r="D6" i="12"/>
  <c r="C6" i="12"/>
  <c r="D5" i="12"/>
  <c r="C5" i="12"/>
  <c r="D4" i="12"/>
  <c r="C4" i="12"/>
  <c r="C11" i="12" s="1"/>
  <c r="C3" i="12"/>
  <c r="B38" i="14" l="1"/>
  <c r="B41" i="14" s="1"/>
  <c r="D38" i="14"/>
  <c r="E39" i="13"/>
  <c r="C38" i="13"/>
  <c r="D39" i="13"/>
  <c r="E37" i="13"/>
  <c r="C41" i="13"/>
  <c r="D41" i="13" s="1"/>
  <c r="A37" i="12"/>
  <c r="C37" i="12"/>
  <c r="C73" i="12"/>
  <c r="D31" i="12"/>
  <c r="D34" i="12" s="1"/>
  <c r="D3" i="12"/>
  <c r="D40" i="12"/>
  <c r="C74" i="12"/>
  <c r="E91" i="12"/>
  <c r="G13" i="11"/>
  <c r="G74" i="11"/>
  <c r="H74" i="11"/>
  <c r="G73" i="11"/>
  <c r="H73" i="11"/>
  <c r="G72" i="11"/>
  <c r="H72" i="11"/>
  <c r="G71" i="11"/>
  <c r="H71" i="11"/>
  <c r="G70" i="11"/>
  <c r="H70" i="11"/>
  <c r="G69" i="11"/>
  <c r="H69" i="11"/>
  <c r="G68" i="11"/>
  <c r="H68" i="11"/>
  <c r="G67" i="11"/>
  <c r="H67" i="11"/>
  <c r="G66" i="11"/>
  <c r="H66" i="11"/>
  <c r="G65" i="11"/>
  <c r="H65" i="11"/>
  <c r="G64" i="11"/>
  <c r="H64" i="11"/>
  <c r="G63" i="11"/>
  <c r="H63" i="11"/>
  <c r="G62" i="11"/>
  <c r="H62" i="11"/>
  <c r="G61" i="11"/>
  <c r="H61" i="11"/>
  <c r="G60" i="11"/>
  <c r="H60" i="11"/>
  <c r="G59" i="11"/>
  <c r="H59" i="11"/>
  <c r="G58" i="11"/>
  <c r="H58" i="11"/>
  <c r="G57" i="11"/>
  <c r="H57" i="11"/>
  <c r="G56" i="11"/>
  <c r="H56" i="11"/>
  <c r="G55" i="11"/>
  <c r="H55" i="11"/>
  <c r="G54" i="11"/>
  <c r="H54" i="11"/>
  <c r="G53" i="11"/>
  <c r="H53" i="11"/>
  <c r="G52" i="11"/>
  <c r="H52" i="11"/>
  <c r="G51" i="11"/>
  <c r="H51" i="11"/>
  <c r="G50" i="11"/>
  <c r="H50" i="11"/>
  <c r="G49" i="11"/>
  <c r="H49" i="11"/>
  <c r="G48" i="11"/>
  <c r="H48" i="11"/>
  <c r="G47" i="11"/>
  <c r="H47" i="11"/>
  <c r="G46" i="11"/>
  <c r="H46" i="11"/>
  <c r="G45" i="11"/>
  <c r="H45" i="11"/>
  <c r="G44" i="11"/>
  <c r="H44" i="11"/>
  <c r="G43" i="11"/>
  <c r="H43" i="11"/>
  <c r="G42" i="11"/>
  <c r="H42" i="11"/>
  <c r="G41" i="11"/>
  <c r="H41" i="11"/>
  <c r="G40" i="11"/>
  <c r="H40" i="11"/>
  <c r="G39" i="11"/>
  <c r="H39" i="11"/>
  <c r="G38" i="11"/>
  <c r="H38" i="11"/>
  <c r="G37" i="11"/>
  <c r="H37" i="11"/>
  <c r="G36" i="11"/>
  <c r="H36" i="11"/>
  <c r="G35" i="11"/>
  <c r="H35" i="11"/>
  <c r="G34" i="11"/>
  <c r="H34" i="11"/>
  <c r="G33" i="11"/>
  <c r="H33" i="11"/>
  <c r="G32" i="11"/>
  <c r="H32" i="11"/>
  <c r="G31" i="11"/>
  <c r="H31" i="11"/>
  <c r="G30" i="11"/>
  <c r="H30" i="11"/>
  <c r="G29" i="11"/>
  <c r="H29" i="11"/>
  <c r="G28" i="11"/>
  <c r="H28" i="11"/>
  <c r="G27" i="11"/>
  <c r="H27" i="11"/>
  <c r="G26" i="11"/>
  <c r="H26" i="11"/>
  <c r="G25" i="11"/>
  <c r="H25" i="11"/>
  <c r="G24" i="11"/>
  <c r="H24" i="11"/>
  <c r="G23" i="11"/>
  <c r="H23" i="11"/>
  <c r="G22" i="11"/>
  <c r="H22" i="11"/>
  <c r="G21" i="11"/>
  <c r="H21" i="11"/>
  <c r="G20" i="11"/>
  <c r="H20" i="11"/>
  <c r="G19" i="11"/>
  <c r="H19" i="11"/>
  <c r="G18" i="11"/>
  <c r="H18" i="11"/>
  <c r="G17" i="11"/>
  <c r="H17" i="11"/>
  <c r="G16" i="11"/>
  <c r="H16" i="11"/>
  <c r="G15" i="11"/>
  <c r="H15" i="11"/>
  <c r="G14" i="11"/>
  <c r="H14" i="11"/>
  <c r="H13" i="11"/>
  <c r="B45" i="14" l="1"/>
  <c r="C45" i="14" s="1"/>
  <c r="B43" i="14"/>
  <c r="B46" i="14"/>
  <c r="C46" i="14" s="1"/>
  <c r="B44" i="14"/>
  <c r="C44" i="14" s="1"/>
  <c r="B38" i="13"/>
  <c r="B41" i="13" s="1"/>
  <c r="D38" i="13"/>
  <c r="D39" i="12"/>
  <c r="C38" i="12"/>
  <c r="E37" i="12"/>
  <c r="C41" i="12"/>
  <c r="D41" i="12" s="1"/>
  <c r="E39" i="12"/>
  <c r="F74" i="11"/>
  <c r="D74" i="11"/>
  <c r="B74" i="11"/>
  <c r="F73" i="11"/>
  <c r="D73" i="11"/>
  <c r="B73" i="11"/>
  <c r="F72" i="11"/>
  <c r="D72" i="11"/>
  <c r="B72" i="11"/>
  <c r="F71" i="11"/>
  <c r="D71" i="11"/>
  <c r="B71" i="11"/>
  <c r="F70" i="11"/>
  <c r="D70" i="11"/>
  <c r="B70" i="11"/>
  <c r="F69" i="11"/>
  <c r="D69" i="11"/>
  <c r="B69" i="11"/>
  <c r="F68" i="11"/>
  <c r="D68" i="11"/>
  <c r="B68" i="11"/>
  <c r="F67" i="11"/>
  <c r="D67" i="11"/>
  <c r="B67" i="11"/>
  <c r="F66" i="11"/>
  <c r="D66" i="11"/>
  <c r="B66" i="11"/>
  <c r="F65" i="11"/>
  <c r="D65" i="11"/>
  <c r="B65" i="11"/>
  <c r="F64" i="11"/>
  <c r="D64" i="11"/>
  <c r="B64" i="11"/>
  <c r="F63" i="11"/>
  <c r="D63" i="11"/>
  <c r="B63" i="11"/>
  <c r="F62" i="11"/>
  <c r="D62" i="11"/>
  <c r="B62" i="11"/>
  <c r="F61" i="11"/>
  <c r="D61" i="11"/>
  <c r="B61" i="11"/>
  <c r="F60" i="11"/>
  <c r="D60" i="11"/>
  <c r="B60" i="11"/>
  <c r="F59" i="11"/>
  <c r="D59" i="11"/>
  <c r="B59" i="11"/>
  <c r="F58" i="11"/>
  <c r="D58" i="11"/>
  <c r="B58" i="11"/>
  <c r="F57" i="11"/>
  <c r="D57" i="11"/>
  <c r="B57" i="11"/>
  <c r="F56" i="11"/>
  <c r="D56" i="11"/>
  <c r="B56" i="11"/>
  <c r="F55" i="11"/>
  <c r="D55" i="11"/>
  <c r="B55" i="11"/>
  <c r="F54" i="11"/>
  <c r="D54" i="11"/>
  <c r="B54" i="11"/>
  <c r="F53" i="11"/>
  <c r="D53" i="11"/>
  <c r="B53" i="11"/>
  <c r="F52" i="11"/>
  <c r="D52" i="11"/>
  <c r="B52" i="11"/>
  <c r="F51" i="11"/>
  <c r="D51" i="11"/>
  <c r="B51" i="11"/>
  <c r="F50" i="11"/>
  <c r="D50" i="11"/>
  <c r="B50" i="11"/>
  <c r="F49" i="11"/>
  <c r="D49" i="11"/>
  <c r="B49" i="11"/>
  <c r="F48" i="11"/>
  <c r="D48" i="11"/>
  <c r="B48" i="11"/>
  <c r="F47" i="11"/>
  <c r="D47" i="11"/>
  <c r="B47" i="11"/>
  <c r="F46" i="11"/>
  <c r="D46" i="11"/>
  <c r="B46" i="11"/>
  <c r="F45" i="11"/>
  <c r="D45" i="11"/>
  <c r="B45" i="11"/>
  <c r="F44" i="11"/>
  <c r="D44" i="11"/>
  <c r="B44" i="11"/>
  <c r="F43" i="11"/>
  <c r="D43" i="11"/>
  <c r="B43" i="11"/>
  <c r="F42" i="11"/>
  <c r="D42" i="11"/>
  <c r="B42" i="11"/>
  <c r="F41" i="11"/>
  <c r="D41" i="11"/>
  <c r="B41" i="11"/>
  <c r="F40" i="11"/>
  <c r="D40" i="11"/>
  <c r="B40" i="11"/>
  <c r="F39" i="11"/>
  <c r="D39" i="11"/>
  <c r="B39" i="11"/>
  <c r="F38" i="11"/>
  <c r="D38" i="11"/>
  <c r="B38" i="11"/>
  <c r="F37" i="11"/>
  <c r="D37" i="11"/>
  <c r="B37" i="11"/>
  <c r="F36" i="11"/>
  <c r="D36" i="11"/>
  <c r="B36" i="11"/>
  <c r="F35" i="11"/>
  <c r="D35" i="11"/>
  <c r="B35" i="11"/>
  <c r="F34" i="11"/>
  <c r="D34" i="11"/>
  <c r="B34" i="11"/>
  <c r="F33" i="11"/>
  <c r="D33" i="11"/>
  <c r="B33" i="11"/>
  <c r="F32" i="11"/>
  <c r="D32" i="11"/>
  <c r="B32" i="11"/>
  <c r="F31" i="11"/>
  <c r="D31" i="11"/>
  <c r="B31" i="11"/>
  <c r="F30" i="11"/>
  <c r="D30" i="11"/>
  <c r="B30" i="11"/>
  <c r="F29" i="11"/>
  <c r="D29" i="11"/>
  <c r="B29" i="11"/>
  <c r="F28" i="11"/>
  <c r="D28" i="11"/>
  <c r="B28" i="11"/>
  <c r="F27" i="11"/>
  <c r="D27" i="11"/>
  <c r="B27" i="11"/>
  <c r="F26" i="11"/>
  <c r="D26" i="11"/>
  <c r="B26" i="11"/>
  <c r="F25" i="11"/>
  <c r="D25" i="11"/>
  <c r="B25" i="11"/>
  <c r="F24" i="11"/>
  <c r="D24" i="11"/>
  <c r="B24" i="11"/>
  <c r="F23" i="11"/>
  <c r="D23" i="11"/>
  <c r="B23" i="11"/>
  <c r="F22" i="11"/>
  <c r="D22" i="11"/>
  <c r="B22" i="11"/>
  <c r="F21" i="11"/>
  <c r="D21" i="11"/>
  <c r="B21" i="11"/>
  <c r="D20" i="11"/>
  <c r="B20" i="11"/>
  <c r="D19" i="11"/>
  <c r="C19" i="11"/>
  <c r="E19" i="11" s="1"/>
  <c r="B19" i="11"/>
  <c r="D18" i="11"/>
  <c r="C18" i="11"/>
  <c r="E18" i="11" s="1"/>
  <c r="B18" i="11"/>
  <c r="F17" i="11"/>
  <c r="E17" i="11"/>
  <c r="D17" i="11"/>
  <c r="C17" i="11"/>
  <c r="B17" i="11"/>
  <c r="F16" i="11"/>
  <c r="D16" i="11"/>
  <c r="E16" i="11" s="1"/>
  <c r="C16" i="11"/>
  <c r="B16" i="11"/>
  <c r="F15" i="11"/>
  <c r="D15" i="11"/>
  <c r="C15" i="11"/>
  <c r="E15" i="11" s="1"/>
  <c r="B15" i="11"/>
  <c r="F14" i="11"/>
  <c r="D14" i="11"/>
  <c r="C14" i="11"/>
  <c r="E14" i="11" s="1"/>
  <c r="B14" i="11"/>
  <c r="F13" i="11"/>
  <c r="E13" i="11"/>
  <c r="D13" i="11"/>
  <c r="C13" i="11"/>
  <c r="B13" i="11"/>
  <c r="F12" i="11"/>
  <c r="E12" i="11" s="1"/>
  <c r="H12" i="11" s="1"/>
  <c r="D12" i="11"/>
  <c r="B12" i="11"/>
  <c r="E9" i="11"/>
  <c r="E8" i="11"/>
  <c r="C8" i="11"/>
  <c r="E7" i="11"/>
  <c r="C7" i="11"/>
  <c r="E6" i="11"/>
  <c r="C6" i="11"/>
  <c r="E5" i="11"/>
  <c r="C5" i="11"/>
  <c r="E4" i="11"/>
  <c r="C4" i="11"/>
  <c r="D4" i="11" s="1"/>
  <c r="B47" i="14" l="1"/>
  <c r="C43" i="14"/>
  <c r="C47" i="14" s="1"/>
  <c r="B45" i="13"/>
  <c r="C45" i="13" s="1"/>
  <c r="B43" i="13"/>
  <c r="B46" i="13"/>
  <c r="C46" i="13" s="1"/>
  <c r="B44" i="13"/>
  <c r="C44" i="13" s="1"/>
  <c r="B38" i="12"/>
  <c r="B41" i="12" s="1"/>
  <c r="D38" i="12"/>
  <c r="C25" i="11"/>
  <c r="E25" i="11" s="1"/>
  <c r="C21" i="11"/>
  <c r="E21" i="11" s="1"/>
  <c r="C20" i="11"/>
  <c r="E20" i="11" s="1"/>
  <c r="C26" i="11"/>
  <c r="E26" i="11" s="1"/>
  <c r="D5" i="11"/>
  <c r="C24" i="11"/>
  <c r="E24" i="11" s="1"/>
  <c r="C23" i="11"/>
  <c r="E23" i="11" s="1"/>
  <c r="C22" i="11"/>
  <c r="E22" i="11" s="1"/>
  <c r="D6" i="11"/>
  <c r="E94" i="10"/>
  <c r="B94" i="10"/>
  <c r="C93" i="10"/>
  <c r="E91" i="10"/>
  <c r="C90" i="10"/>
  <c r="B74" i="10"/>
  <c r="B68" i="10"/>
  <c r="B66" i="10"/>
  <c r="B65" i="10"/>
  <c r="G50" i="10"/>
  <c r="C49" i="10"/>
  <c r="C42" i="10"/>
  <c r="B40" i="10"/>
  <c r="C40" i="10" s="1"/>
  <c r="B39" i="10"/>
  <c r="C34" i="10"/>
  <c r="B34" i="10"/>
  <c r="D33" i="10"/>
  <c r="C33" i="10"/>
  <c r="C82" i="10" s="1"/>
  <c r="B82" i="10" s="1"/>
  <c r="D32" i="10"/>
  <c r="C32" i="10"/>
  <c r="C31" i="10"/>
  <c r="D30" i="10"/>
  <c r="C30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C84" i="10" s="1"/>
  <c r="B84" i="10" s="1"/>
  <c r="D16" i="10"/>
  <c r="C16" i="10"/>
  <c r="D15" i="10"/>
  <c r="C15" i="10"/>
  <c r="D14" i="10"/>
  <c r="C14" i="10"/>
  <c r="B11" i="10"/>
  <c r="B37" i="10" s="1"/>
  <c r="D10" i="10"/>
  <c r="C10" i="10"/>
  <c r="D9" i="10"/>
  <c r="C9" i="10"/>
  <c r="D8" i="10"/>
  <c r="C8" i="10"/>
  <c r="D7" i="10"/>
  <c r="C7" i="10"/>
  <c r="D6" i="10"/>
  <c r="C6" i="10"/>
  <c r="D5" i="10"/>
  <c r="C5" i="10"/>
  <c r="D4" i="10"/>
  <c r="C4" i="10"/>
  <c r="C3" i="10"/>
  <c r="C11" i="10" s="1"/>
  <c r="D47" i="14" l="1"/>
  <c r="C84" i="14"/>
  <c r="C48" i="14"/>
  <c r="B78" i="14"/>
  <c r="B48" i="14"/>
  <c r="B47" i="13"/>
  <c r="C43" i="13"/>
  <c r="C47" i="13" s="1"/>
  <c r="B46" i="12"/>
  <c r="C46" i="12" s="1"/>
  <c r="B44" i="12"/>
  <c r="C44" i="12" s="1"/>
  <c r="B45" i="12"/>
  <c r="C45" i="12" s="1"/>
  <c r="B43" i="12"/>
  <c r="G48" i="10"/>
  <c r="F49" i="10"/>
  <c r="G69" i="10"/>
  <c r="C41" i="11"/>
  <c r="E41" i="11" s="1"/>
  <c r="C37" i="11"/>
  <c r="E37" i="11" s="1"/>
  <c r="C40" i="11"/>
  <c r="E40" i="11" s="1"/>
  <c r="C36" i="11"/>
  <c r="E36" i="11" s="1"/>
  <c r="D7" i="11"/>
  <c r="C38" i="11"/>
  <c r="E38" i="11" s="1"/>
  <c r="C39" i="11"/>
  <c r="E39" i="11" s="1"/>
  <c r="C33" i="11"/>
  <c r="E33" i="11" s="1"/>
  <c r="C29" i="11"/>
  <c r="E29" i="11" s="1"/>
  <c r="C34" i="11"/>
  <c r="E34" i="11" s="1"/>
  <c r="C32" i="11"/>
  <c r="E32" i="11" s="1"/>
  <c r="C28" i="11"/>
  <c r="E28" i="11" s="1"/>
  <c r="C30" i="11"/>
  <c r="E30" i="11" s="1"/>
  <c r="C35" i="11"/>
  <c r="E35" i="11" s="1"/>
  <c r="C31" i="11"/>
  <c r="E31" i="11" s="1"/>
  <c r="C27" i="11"/>
  <c r="E27" i="11" s="1"/>
  <c r="B73" i="10"/>
  <c r="C73" i="10" s="1"/>
  <c r="D3" i="10"/>
  <c r="A37" i="10"/>
  <c r="C37" i="10"/>
  <c r="D40" i="10" s="1"/>
  <c r="A65" i="10"/>
  <c r="C74" i="10"/>
  <c r="D31" i="10"/>
  <c r="D34" i="10" s="1"/>
  <c r="E85" i="9"/>
  <c r="B85" i="9"/>
  <c r="C84" i="9"/>
  <c r="E82" i="9"/>
  <c r="C81" i="9"/>
  <c r="B65" i="9"/>
  <c r="D65" i="9" s="1"/>
  <c r="G60" i="9"/>
  <c r="B59" i="9"/>
  <c r="B57" i="9"/>
  <c r="G48" i="9" s="1"/>
  <c r="B56" i="9"/>
  <c r="G50" i="9"/>
  <c r="C49" i="9"/>
  <c r="C42" i="9"/>
  <c r="B40" i="9"/>
  <c r="C40" i="9" s="1"/>
  <c r="B39" i="9"/>
  <c r="B34" i="9"/>
  <c r="B37" i="9" s="1"/>
  <c r="D33" i="9"/>
  <c r="C33" i="9"/>
  <c r="C73" i="9" s="1"/>
  <c r="B73" i="9" s="1"/>
  <c r="D32" i="9"/>
  <c r="C32" i="9"/>
  <c r="C31" i="9"/>
  <c r="D30" i="9"/>
  <c r="C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C75" i="9" s="1"/>
  <c r="B75" i="9" s="1"/>
  <c r="D16" i="9"/>
  <c r="C16" i="9"/>
  <c r="D15" i="9"/>
  <c r="C15" i="9"/>
  <c r="D14" i="9"/>
  <c r="C14" i="9"/>
  <c r="C34" i="9" s="1"/>
  <c r="B11" i="9"/>
  <c r="B64" i="9" s="1"/>
  <c r="D10" i="9"/>
  <c r="C10" i="9"/>
  <c r="D9" i="9"/>
  <c r="C9" i="9"/>
  <c r="D8" i="9"/>
  <c r="C8" i="9"/>
  <c r="D7" i="9"/>
  <c r="C7" i="9"/>
  <c r="D6" i="9"/>
  <c r="C6" i="9"/>
  <c r="D5" i="9"/>
  <c r="C5" i="9"/>
  <c r="D4" i="9"/>
  <c r="C4" i="9"/>
  <c r="C11" i="9" s="1"/>
  <c r="C3" i="9"/>
  <c r="C52" i="14" l="1"/>
  <c r="D48" i="14"/>
  <c r="D78" i="14"/>
  <c r="C78" i="14"/>
  <c r="E78" i="14" s="1"/>
  <c r="C86" i="14"/>
  <c r="C88" i="14" s="1"/>
  <c r="A88" i="14" s="1"/>
  <c r="B84" i="14"/>
  <c r="B86" i="14" s="1"/>
  <c r="B88" i="14" s="1"/>
  <c r="D47" i="13"/>
  <c r="C81" i="13"/>
  <c r="C48" i="13"/>
  <c r="B75" i="13"/>
  <c r="B48" i="13"/>
  <c r="C43" i="12"/>
  <c r="C47" i="12" s="1"/>
  <c r="B47" i="12"/>
  <c r="A56" i="9"/>
  <c r="F49" i="9"/>
  <c r="C49" i="11"/>
  <c r="E49" i="11" s="1"/>
  <c r="C45" i="11"/>
  <c r="E45" i="11" s="1"/>
  <c r="C46" i="11"/>
  <c r="E46" i="11" s="1"/>
  <c r="C52" i="11"/>
  <c r="E52" i="11" s="1"/>
  <c r="C48" i="11"/>
  <c r="E48" i="11" s="1"/>
  <c r="C44" i="11"/>
  <c r="E44" i="11" s="1"/>
  <c r="C50" i="11"/>
  <c r="E50" i="11" s="1"/>
  <c r="C51" i="11"/>
  <c r="E51" i="11" s="1"/>
  <c r="C47" i="11"/>
  <c r="E47" i="11" s="1"/>
  <c r="C43" i="11"/>
  <c r="E43" i="11" s="1"/>
  <c r="C42" i="11"/>
  <c r="E42" i="11" s="1"/>
  <c r="D8" i="11"/>
  <c r="D74" i="10"/>
  <c r="E39" i="10"/>
  <c r="C38" i="10"/>
  <c r="C41" i="10" s="1"/>
  <c r="D41" i="10" s="1"/>
  <c r="D39" i="10"/>
  <c r="E37" i="10"/>
  <c r="C64" i="9"/>
  <c r="A37" i="9"/>
  <c r="C37" i="9"/>
  <c r="D31" i="9"/>
  <c r="D3" i="9"/>
  <c r="D34" i="9"/>
  <c r="C65" i="9"/>
  <c r="E85" i="8"/>
  <c r="B85" i="8"/>
  <c r="C84" i="8"/>
  <c r="E82" i="8"/>
  <c r="C81" i="8"/>
  <c r="B65" i="8"/>
  <c r="C65" i="8" s="1"/>
  <c r="B64" i="8"/>
  <c r="C64" i="8" s="1"/>
  <c r="G60" i="8"/>
  <c r="B59" i="8"/>
  <c r="B57" i="8"/>
  <c r="G48" i="8" s="1"/>
  <c r="B56" i="8"/>
  <c r="A56" i="8" s="1"/>
  <c r="G50" i="8"/>
  <c r="C49" i="8"/>
  <c r="C42" i="8"/>
  <c r="B40" i="8"/>
  <c r="C40" i="8" s="1"/>
  <c r="B39" i="8"/>
  <c r="B34" i="8"/>
  <c r="B37" i="8" s="1"/>
  <c r="D33" i="8"/>
  <c r="C33" i="8"/>
  <c r="C73" i="8" s="1"/>
  <c r="B73" i="8" s="1"/>
  <c r="D32" i="8"/>
  <c r="C32" i="8"/>
  <c r="C31" i="8"/>
  <c r="D30" i="8"/>
  <c r="C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C75" i="8" s="1"/>
  <c r="B75" i="8" s="1"/>
  <c r="D16" i="8"/>
  <c r="C16" i="8"/>
  <c r="D15" i="8"/>
  <c r="C15" i="8"/>
  <c r="D14" i="8"/>
  <c r="C14" i="8"/>
  <c r="C34" i="8" s="1"/>
  <c r="C11" i="8"/>
  <c r="B11" i="8"/>
  <c r="D10" i="8"/>
  <c r="C10" i="8"/>
  <c r="D9" i="8"/>
  <c r="C9" i="8"/>
  <c r="D8" i="8"/>
  <c r="C8" i="8"/>
  <c r="D7" i="8"/>
  <c r="C7" i="8"/>
  <c r="D6" i="8"/>
  <c r="C6" i="8"/>
  <c r="D5" i="8"/>
  <c r="C5" i="8"/>
  <c r="D4" i="8"/>
  <c r="C4" i="8"/>
  <c r="D3" i="8"/>
  <c r="C3" i="8"/>
  <c r="F52" i="14" l="1"/>
  <c r="A53" i="14" s="1"/>
  <c r="D75" i="13"/>
  <c r="C75" i="13"/>
  <c r="E75" i="13" s="1"/>
  <c r="C52" i="13"/>
  <c r="D48" i="13"/>
  <c r="C83" i="13"/>
  <c r="C85" i="13" s="1"/>
  <c r="A85" i="13" s="1"/>
  <c r="B81" i="13"/>
  <c r="B83" i="13" s="1"/>
  <c r="B85" i="13" s="1"/>
  <c r="D47" i="12"/>
  <c r="C81" i="12"/>
  <c r="C48" i="12"/>
  <c r="B75" i="12"/>
  <c r="B48" i="12"/>
  <c r="C73" i="11"/>
  <c r="E73" i="11" s="1"/>
  <c r="C69" i="11"/>
  <c r="E69" i="11" s="1"/>
  <c r="C65" i="11"/>
  <c r="E65" i="11" s="1"/>
  <c r="C61" i="11"/>
  <c r="E61" i="11" s="1"/>
  <c r="C57" i="11"/>
  <c r="E57" i="11" s="1"/>
  <c r="C53" i="11"/>
  <c r="E53" i="11" s="1"/>
  <c r="C66" i="11"/>
  <c r="E66" i="11" s="1"/>
  <c r="C72" i="11"/>
  <c r="E72" i="11" s="1"/>
  <c r="C68" i="11"/>
  <c r="E68" i="11" s="1"/>
  <c r="C64" i="11"/>
  <c r="E64" i="11" s="1"/>
  <c r="C60" i="11"/>
  <c r="E60" i="11" s="1"/>
  <c r="C56" i="11"/>
  <c r="E56" i="11" s="1"/>
  <c r="C62" i="11"/>
  <c r="E62" i="11" s="1"/>
  <c r="C71" i="11"/>
  <c r="E71" i="11" s="1"/>
  <c r="C67" i="11"/>
  <c r="E67" i="11" s="1"/>
  <c r="C63" i="11"/>
  <c r="E63" i="11" s="1"/>
  <c r="C59" i="11"/>
  <c r="E59" i="11" s="1"/>
  <c r="C55" i="11"/>
  <c r="E55" i="11" s="1"/>
  <c r="C12" i="11"/>
  <c r="G12" i="11" s="1"/>
  <c r="C74" i="11"/>
  <c r="E74" i="11" s="1"/>
  <c r="C70" i="11"/>
  <c r="E70" i="11" s="1"/>
  <c r="C58" i="11"/>
  <c r="E58" i="11" s="1"/>
  <c r="C54" i="11"/>
  <c r="E54" i="11" s="1"/>
  <c r="B38" i="10"/>
  <c r="B41" i="10" s="1"/>
  <c r="D38" i="10"/>
  <c r="D39" i="9"/>
  <c r="E37" i="9"/>
  <c r="C38" i="9"/>
  <c r="C41" i="9" s="1"/>
  <c r="D41" i="9" s="1"/>
  <c r="E39" i="9"/>
  <c r="D40" i="9"/>
  <c r="D34" i="8"/>
  <c r="A37" i="8"/>
  <c r="C37" i="8"/>
  <c r="D31" i="8"/>
  <c r="D65" i="8"/>
  <c r="F49" i="8"/>
  <c r="B56" i="7"/>
  <c r="F49" i="7" s="1"/>
  <c r="B57" i="7"/>
  <c r="B56" i="6"/>
  <c r="A56" i="6" s="1"/>
  <c r="B57" i="6"/>
  <c r="B11" i="7"/>
  <c r="B37" i="7" s="1"/>
  <c r="C37" i="7" s="1"/>
  <c r="B34" i="7"/>
  <c r="C3" i="7"/>
  <c r="C5" i="7"/>
  <c r="C4" i="7"/>
  <c r="D4" i="7"/>
  <c r="D5" i="7"/>
  <c r="C6" i="7"/>
  <c r="D6" i="7"/>
  <c r="C7" i="7"/>
  <c r="D7" i="7"/>
  <c r="C8" i="7"/>
  <c r="D8" i="7"/>
  <c r="C9" i="7"/>
  <c r="D9" i="7"/>
  <c r="C10" i="7"/>
  <c r="D10" i="7"/>
  <c r="C14" i="7"/>
  <c r="D14" i="7"/>
  <c r="C15" i="7"/>
  <c r="D15" i="7"/>
  <c r="C16" i="7"/>
  <c r="D16" i="7"/>
  <c r="C17" i="7"/>
  <c r="D17" i="7"/>
  <c r="C18" i="7"/>
  <c r="D18" i="7"/>
  <c r="C19" i="7"/>
  <c r="D19" i="7"/>
  <c r="C20" i="7"/>
  <c r="D20" i="7"/>
  <c r="C21" i="7"/>
  <c r="D21" i="7"/>
  <c r="C22" i="7"/>
  <c r="D22" i="7"/>
  <c r="C23" i="7"/>
  <c r="D23" i="7"/>
  <c r="C24" i="7"/>
  <c r="D24" i="7"/>
  <c r="C25" i="7"/>
  <c r="D25" i="7"/>
  <c r="C26" i="7"/>
  <c r="D26" i="7"/>
  <c r="C27" i="7"/>
  <c r="D27" i="7"/>
  <c r="C28" i="7"/>
  <c r="D28" i="7"/>
  <c r="C29" i="7"/>
  <c r="D29" i="7"/>
  <c r="C30" i="7"/>
  <c r="D30" i="7"/>
  <c r="C31" i="7"/>
  <c r="C32" i="7"/>
  <c r="D32" i="7"/>
  <c r="C33" i="7"/>
  <c r="D33" i="7"/>
  <c r="C34" i="7"/>
  <c r="B39" i="7"/>
  <c r="B40" i="7"/>
  <c r="C40" i="7" s="1"/>
  <c r="C42" i="7"/>
  <c r="G48" i="7"/>
  <c r="C49" i="7"/>
  <c r="G50" i="7"/>
  <c r="B59" i="7"/>
  <c r="G60" i="7"/>
  <c r="B65" i="7"/>
  <c r="C65" i="7"/>
  <c r="C73" i="7"/>
  <c r="B73" i="7" s="1"/>
  <c r="C75" i="7"/>
  <c r="B75" i="7" s="1"/>
  <c r="C81" i="7"/>
  <c r="E82" i="7" s="1"/>
  <c r="C84" i="7"/>
  <c r="B85" i="7"/>
  <c r="E85" i="7"/>
  <c r="B11" i="6"/>
  <c r="B64" i="6" s="1"/>
  <c r="C64" i="6" s="1"/>
  <c r="C3" i="6"/>
  <c r="C8" i="6"/>
  <c r="C7" i="6"/>
  <c r="C4" i="6"/>
  <c r="D4" i="6"/>
  <c r="C5" i="6"/>
  <c r="D5" i="6"/>
  <c r="C6" i="6"/>
  <c r="D6" i="6"/>
  <c r="D7" i="6"/>
  <c r="D8" i="6"/>
  <c r="C9" i="6"/>
  <c r="D9" i="6"/>
  <c r="C10" i="6"/>
  <c r="D10" i="6"/>
  <c r="C14" i="6"/>
  <c r="D14" i="6"/>
  <c r="C15" i="6"/>
  <c r="D15" i="6"/>
  <c r="C16" i="6"/>
  <c r="D16" i="6"/>
  <c r="C17" i="6"/>
  <c r="D17" i="6"/>
  <c r="C18" i="6"/>
  <c r="D18" i="6"/>
  <c r="C19" i="6"/>
  <c r="D19" i="6"/>
  <c r="C20" i="6"/>
  <c r="D20" i="6"/>
  <c r="C21" i="6"/>
  <c r="D21" i="6"/>
  <c r="C22" i="6"/>
  <c r="D22" i="6"/>
  <c r="C23" i="6"/>
  <c r="D23" i="6"/>
  <c r="C24" i="6"/>
  <c r="D24" i="6"/>
  <c r="C25" i="6"/>
  <c r="D25" i="6"/>
  <c r="C26" i="6"/>
  <c r="D26" i="6"/>
  <c r="C27" i="6"/>
  <c r="D27" i="6"/>
  <c r="C28" i="6"/>
  <c r="D28" i="6"/>
  <c r="C29" i="6"/>
  <c r="D29" i="6"/>
  <c r="C30" i="6"/>
  <c r="D30" i="6"/>
  <c r="C31" i="6"/>
  <c r="C32" i="6"/>
  <c r="D32" i="6"/>
  <c r="C33" i="6"/>
  <c r="D33" i="6"/>
  <c r="B34" i="6"/>
  <c r="C34" i="6"/>
  <c r="B39" i="6"/>
  <c r="B40" i="6"/>
  <c r="C40" i="6"/>
  <c r="C42" i="6"/>
  <c r="G48" i="6"/>
  <c r="C49" i="6"/>
  <c r="F49" i="6"/>
  <c r="G50" i="6"/>
  <c r="B59" i="6"/>
  <c r="G60" i="6"/>
  <c r="B65" i="6"/>
  <c r="C65" i="6" s="1"/>
  <c r="C73" i="6"/>
  <c r="B73" i="6" s="1"/>
  <c r="C75" i="6"/>
  <c r="B75" i="6" s="1"/>
  <c r="C81" i="6"/>
  <c r="E82" i="6" s="1"/>
  <c r="C84" i="6"/>
  <c r="B85" i="6"/>
  <c r="E85" i="6"/>
  <c r="C49" i="5"/>
  <c r="G50" i="5"/>
  <c r="G60" i="5"/>
  <c r="B34" i="4"/>
  <c r="B11" i="4"/>
  <c r="B37" i="4"/>
  <c r="A37" i="4" s="1"/>
  <c r="C37" i="4"/>
  <c r="E39" i="4" s="1"/>
  <c r="B34" i="5"/>
  <c r="B11" i="5"/>
  <c r="C3" i="5"/>
  <c r="C4" i="5"/>
  <c r="D4" i="5"/>
  <c r="C5" i="5"/>
  <c r="D5" i="5"/>
  <c r="C6" i="5"/>
  <c r="D6" i="5"/>
  <c r="C7" i="5"/>
  <c r="D7" i="5"/>
  <c r="C8" i="5"/>
  <c r="D8" i="5"/>
  <c r="C9" i="5"/>
  <c r="D9" i="5"/>
  <c r="C10" i="5"/>
  <c r="D10" i="5"/>
  <c r="C14" i="5"/>
  <c r="D14" i="5"/>
  <c r="C15" i="5"/>
  <c r="D15" i="5"/>
  <c r="C16" i="5"/>
  <c r="D16" i="5"/>
  <c r="C17" i="5"/>
  <c r="C75" i="5" s="1"/>
  <c r="B75" i="5" s="1"/>
  <c r="D17" i="5"/>
  <c r="C18" i="5"/>
  <c r="D18" i="5"/>
  <c r="C19" i="5"/>
  <c r="D19" i="5"/>
  <c r="C20" i="5"/>
  <c r="D20" i="5"/>
  <c r="C21" i="5"/>
  <c r="D21" i="5"/>
  <c r="C22" i="5"/>
  <c r="D22" i="5"/>
  <c r="C23" i="5"/>
  <c r="D23" i="5"/>
  <c r="C24" i="5"/>
  <c r="D24" i="5"/>
  <c r="C25" i="5"/>
  <c r="D25" i="5"/>
  <c r="C26" i="5"/>
  <c r="D26" i="5"/>
  <c r="C27" i="5"/>
  <c r="D27" i="5"/>
  <c r="C28" i="5"/>
  <c r="D28" i="5"/>
  <c r="C29" i="5"/>
  <c r="D29" i="5"/>
  <c r="C30" i="5"/>
  <c r="D30" i="5"/>
  <c r="C31" i="5"/>
  <c r="C32" i="5"/>
  <c r="D32" i="5"/>
  <c r="C33" i="5"/>
  <c r="C73" i="5" s="1"/>
  <c r="B73" i="5" s="1"/>
  <c r="D33" i="5"/>
  <c r="B39" i="5"/>
  <c r="B40" i="5"/>
  <c r="C40" i="5"/>
  <c r="C42" i="5"/>
  <c r="B57" i="5"/>
  <c r="G48" i="5" s="1"/>
  <c r="B56" i="5"/>
  <c r="F49" i="5" s="1"/>
  <c r="B59" i="5"/>
  <c r="B65" i="5"/>
  <c r="C65" i="5" s="1"/>
  <c r="C81" i="5"/>
  <c r="E82" i="5"/>
  <c r="C84" i="5"/>
  <c r="B85" i="5"/>
  <c r="E85" i="5"/>
  <c r="C42" i="4"/>
  <c r="B40" i="4"/>
  <c r="C40" i="4"/>
  <c r="B39" i="4"/>
  <c r="C3" i="4"/>
  <c r="C4" i="4"/>
  <c r="C5" i="4"/>
  <c r="C6" i="4"/>
  <c r="C7" i="4"/>
  <c r="C8" i="4"/>
  <c r="C9" i="4"/>
  <c r="C10" i="4"/>
  <c r="B56" i="4"/>
  <c r="B57" i="4"/>
  <c r="B65" i="4"/>
  <c r="C65" i="4" s="1"/>
  <c r="B64" i="4"/>
  <c r="C64" i="4" s="1"/>
  <c r="C31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2" i="4"/>
  <c r="C33" i="4"/>
  <c r="C73" i="4" s="1"/>
  <c r="B73" i="4" s="1"/>
  <c r="D4" i="4"/>
  <c r="D5" i="4"/>
  <c r="D6" i="4"/>
  <c r="D7" i="4"/>
  <c r="D8" i="4"/>
  <c r="D9" i="4"/>
  <c r="D10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2" i="4"/>
  <c r="D33" i="4"/>
  <c r="G48" i="4"/>
  <c r="F49" i="4"/>
  <c r="G50" i="4"/>
  <c r="B59" i="4"/>
  <c r="G60" i="4"/>
  <c r="C75" i="4"/>
  <c r="B75" i="4" s="1"/>
  <c r="C81" i="4"/>
  <c r="E82" i="4" s="1"/>
  <c r="C84" i="4"/>
  <c r="B85" i="4"/>
  <c r="E85" i="4"/>
  <c r="B55" i="3"/>
  <c r="G48" i="3"/>
  <c r="C3" i="3"/>
  <c r="C4" i="3"/>
  <c r="D4" i="3"/>
  <c r="C5" i="3"/>
  <c r="D5" i="3"/>
  <c r="C6" i="3"/>
  <c r="D6" i="3"/>
  <c r="C7" i="3"/>
  <c r="D7" i="3"/>
  <c r="C8" i="3"/>
  <c r="D8" i="3"/>
  <c r="C9" i="3"/>
  <c r="D9" i="3"/>
  <c r="C10" i="3"/>
  <c r="D10" i="3"/>
  <c r="B11" i="3"/>
  <c r="C14" i="3"/>
  <c r="C33" i="3" s="1"/>
  <c r="D14" i="3"/>
  <c r="C15" i="3"/>
  <c r="D15" i="3"/>
  <c r="C16" i="3"/>
  <c r="D16" i="3"/>
  <c r="C17" i="3"/>
  <c r="D17" i="3"/>
  <c r="C18" i="3"/>
  <c r="D18" i="3"/>
  <c r="C19" i="3"/>
  <c r="D19" i="3"/>
  <c r="C20" i="3"/>
  <c r="D20" i="3"/>
  <c r="C21" i="3"/>
  <c r="D21" i="3"/>
  <c r="C22" i="3"/>
  <c r="D22" i="3"/>
  <c r="C23" i="3"/>
  <c r="D23" i="3"/>
  <c r="C24" i="3"/>
  <c r="D24" i="3"/>
  <c r="C25" i="3"/>
  <c r="D25" i="3"/>
  <c r="C26" i="3"/>
  <c r="D26" i="3"/>
  <c r="C27" i="3"/>
  <c r="D27" i="3"/>
  <c r="C28" i="3"/>
  <c r="D28" i="3"/>
  <c r="C29" i="3"/>
  <c r="D29" i="3"/>
  <c r="C30" i="3"/>
  <c r="D30" i="3"/>
  <c r="C31" i="3"/>
  <c r="D31" i="3"/>
  <c r="C32" i="3"/>
  <c r="C71" i="3" s="1"/>
  <c r="B71" i="3" s="1"/>
  <c r="D32" i="3"/>
  <c r="B33" i="3"/>
  <c r="B36" i="3"/>
  <c r="B39" i="3" s="1"/>
  <c r="B37" i="3"/>
  <c r="C37" i="3" s="1"/>
  <c r="B38" i="3"/>
  <c r="C40" i="3"/>
  <c r="G46" i="3"/>
  <c r="B54" i="3"/>
  <c r="F47" i="3" s="1"/>
  <c r="B57" i="3"/>
  <c r="G58" i="3"/>
  <c r="B63" i="3"/>
  <c r="C63" i="3" s="1"/>
  <c r="C73" i="3"/>
  <c r="B73" i="3" s="1"/>
  <c r="C79" i="3"/>
  <c r="C82" i="3"/>
  <c r="B83" i="3"/>
  <c r="E83" i="3"/>
  <c r="B33" i="1"/>
  <c r="B37" i="1"/>
  <c r="C37" i="1" s="1"/>
  <c r="B11" i="1"/>
  <c r="B36" i="1" s="1"/>
  <c r="C40" i="1"/>
  <c r="E82" i="1"/>
  <c r="C78" i="1"/>
  <c r="E79" i="1" s="1"/>
  <c r="C81" i="1"/>
  <c r="B62" i="1"/>
  <c r="C62" i="1" s="1"/>
  <c r="B82" i="1"/>
  <c r="C32" i="1"/>
  <c r="C70" i="1" s="1"/>
  <c r="B70" i="1" s="1"/>
  <c r="C17" i="1"/>
  <c r="C28" i="1"/>
  <c r="C16" i="1"/>
  <c r="C3" i="1"/>
  <c r="C72" i="1"/>
  <c r="B72" i="1"/>
  <c r="G48" i="1"/>
  <c r="G57" i="1"/>
  <c r="B54" i="1"/>
  <c r="G46" i="1"/>
  <c r="B53" i="1"/>
  <c r="F47" i="1" s="1"/>
  <c r="B56" i="1"/>
  <c r="D15" i="1"/>
  <c r="C4" i="1"/>
  <c r="C5" i="1"/>
  <c r="C6" i="1"/>
  <c r="C7" i="1"/>
  <c r="C8" i="1"/>
  <c r="C9" i="1"/>
  <c r="C10" i="1"/>
  <c r="D16" i="1"/>
  <c r="D17" i="1"/>
  <c r="C18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C14" i="1"/>
  <c r="D14" i="1"/>
  <c r="D4" i="1"/>
  <c r="D5" i="1"/>
  <c r="D6" i="1"/>
  <c r="D7" i="1"/>
  <c r="D8" i="1"/>
  <c r="D9" i="1"/>
  <c r="D10" i="1"/>
  <c r="C24" i="1"/>
  <c r="C20" i="1"/>
  <c r="C21" i="1"/>
  <c r="C22" i="1"/>
  <c r="C23" i="1"/>
  <c r="C25" i="1"/>
  <c r="C26" i="1"/>
  <c r="C27" i="1"/>
  <c r="C15" i="1"/>
  <c r="C19" i="1"/>
  <c r="C29" i="1"/>
  <c r="C30" i="1"/>
  <c r="C31" i="1"/>
  <c r="B38" i="1"/>
  <c r="F53" i="14" l="1"/>
  <c r="C53" i="14" s="1"/>
  <c r="C55" i="14" s="1"/>
  <c r="F52" i="13"/>
  <c r="A53" i="13" s="1"/>
  <c r="D75" i="12"/>
  <c r="C75" i="12"/>
  <c r="E75" i="12" s="1"/>
  <c r="D48" i="12"/>
  <c r="C52" i="12"/>
  <c r="B81" i="12"/>
  <c r="B83" i="12" s="1"/>
  <c r="B85" i="12" s="1"/>
  <c r="C83" i="12"/>
  <c r="C85" i="12" s="1"/>
  <c r="A85" i="12" s="1"/>
  <c r="B45" i="10"/>
  <c r="C45" i="10" s="1"/>
  <c r="B43" i="10"/>
  <c r="B46" i="10"/>
  <c r="C46" i="10" s="1"/>
  <c r="B44" i="10"/>
  <c r="C44" i="10" s="1"/>
  <c r="B38" i="9"/>
  <c r="B41" i="9" s="1"/>
  <c r="D38" i="9"/>
  <c r="E37" i="8"/>
  <c r="E39" i="8"/>
  <c r="D39" i="8"/>
  <c r="C38" i="8"/>
  <c r="D40" i="8"/>
  <c r="D65" i="7"/>
  <c r="C33" i="1"/>
  <c r="C11" i="1"/>
  <c r="D3" i="3"/>
  <c r="C34" i="5"/>
  <c r="C11" i="6"/>
  <c r="D65" i="4"/>
  <c r="B37" i="6"/>
  <c r="A37" i="6" s="1"/>
  <c r="D33" i="1"/>
  <c r="D65" i="6"/>
  <c r="B64" i="7"/>
  <c r="C64" i="7" s="1"/>
  <c r="C11" i="7"/>
  <c r="A56" i="7"/>
  <c r="D33" i="3"/>
  <c r="C11" i="3"/>
  <c r="D3" i="1"/>
  <c r="B41" i="3"/>
  <c r="B43" i="3"/>
  <c r="C43" i="3" s="1"/>
  <c r="B42" i="3"/>
  <c r="C42" i="3" s="1"/>
  <c r="B44" i="3"/>
  <c r="C44" i="3" s="1"/>
  <c r="B61" i="1"/>
  <c r="D62" i="1" s="1"/>
  <c r="C36" i="1"/>
  <c r="D37" i="1" s="1"/>
  <c r="B39" i="1"/>
  <c r="D37" i="3"/>
  <c r="B62" i="3"/>
  <c r="D63" i="3" s="1"/>
  <c r="C34" i="4"/>
  <c r="C11" i="4"/>
  <c r="D40" i="4"/>
  <c r="C38" i="4"/>
  <c r="C41" i="4" s="1"/>
  <c r="D41" i="4" s="1"/>
  <c r="D39" i="4"/>
  <c r="D40" i="7"/>
  <c r="D3" i="7"/>
  <c r="D31" i="7"/>
  <c r="D34" i="7" s="1"/>
  <c r="E80" i="3"/>
  <c r="C36" i="3"/>
  <c r="D31" i="4"/>
  <c r="D34" i="4" s="1"/>
  <c r="C11" i="5"/>
  <c r="D3" i="5" s="1"/>
  <c r="C38" i="7"/>
  <c r="D39" i="7"/>
  <c r="E39" i="7"/>
  <c r="E37" i="7"/>
  <c r="B37" i="5"/>
  <c r="B64" i="5"/>
  <c r="D3" i="6"/>
  <c r="D31" i="6"/>
  <c r="D34" i="6" s="1"/>
  <c r="C37" i="6"/>
  <c r="A37" i="7"/>
  <c r="E68" i="14" l="1"/>
  <c r="E69" i="14"/>
  <c r="E65" i="14"/>
  <c r="E71" i="14"/>
  <c r="E66" i="14"/>
  <c r="C57" i="14"/>
  <c r="D57" i="14" s="1"/>
  <c r="F53" i="13"/>
  <c r="C53" i="13" s="1"/>
  <c r="C55" i="13" s="1"/>
  <c r="F52" i="12"/>
  <c r="A53" i="12" s="1"/>
  <c r="B47" i="10"/>
  <c r="C43" i="10"/>
  <c r="C47" i="10" s="1"/>
  <c r="B46" i="9"/>
  <c r="C46" i="9" s="1"/>
  <c r="B44" i="9"/>
  <c r="C44" i="9" s="1"/>
  <c r="B45" i="9"/>
  <c r="C45" i="9" s="1"/>
  <c r="B43" i="9"/>
  <c r="B38" i="8"/>
  <c r="B41" i="8" s="1"/>
  <c r="D38" i="8"/>
  <c r="C41" i="8"/>
  <c r="D41" i="8" s="1"/>
  <c r="B38" i="7"/>
  <c r="B41" i="7" s="1"/>
  <c r="D38" i="7"/>
  <c r="E37" i="4"/>
  <c r="D3" i="4"/>
  <c r="B45" i="3"/>
  <c r="C41" i="3"/>
  <c r="C45" i="3" s="1"/>
  <c r="C46" i="3" s="1"/>
  <c r="E39" i="6"/>
  <c r="E37" i="6"/>
  <c r="D40" i="6"/>
  <c r="D39" i="6"/>
  <c r="C38" i="6"/>
  <c r="D65" i="5"/>
  <c r="C64" i="5"/>
  <c r="C41" i="7"/>
  <c r="D41" i="7" s="1"/>
  <c r="C39" i="3"/>
  <c r="D38" i="3"/>
  <c r="B43" i="1"/>
  <c r="C43" i="1" s="1"/>
  <c r="B41" i="1"/>
  <c r="B42" i="1"/>
  <c r="C42" i="1" s="1"/>
  <c r="B44" i="1"/>
  <c r="C44" i="1" s="1"/>
  <c r="B38" i="4"/>
  <c r="B41" i="4" s="1"/>
  <c r="D38" i="4"/>
  <c r="D39" i="3"/>
  <c r="C37" i="5"/>
  <c r="A37" i="5"/>
  <c r="D38" i="1"/>
  <c r="C39" i="1"/>
  <c r="D31" i="5"/>
  <c r="D34" i="5" s="1"/>
  <c r="C62" i="3"/>
  <c r="C61" i="1"/>
  <c r="C58" i="14" l="1"/>
  <c r="G58" i="14" s="1"/>
  <c r="E65" i="13"/>
  <c r="C58" i="13"/>
  <c r="E66" i="13"/>
  <c r="C57" i="13"/>
  <c r="D57" i="13" s="1"/>
  <c r="E68" i="13"/>
  <c r="F53" i="12"/>
  <c r="C53" i="12" s="1"/>
  <c r="C55" i="12" s="1"/>
  <c r="D47" i="10"/>
  <c r="C81" i="10"/>
  <c r="C48" i="10"/>
  <c r="B75" i="10"/>
  <c r="B48" i="10"/>
  <c r="C43" i="9"/>
  <c r="C47" i="9" s="1"/>
  <c r="B47" i="9"/>
  <c r="B46" i="8"/>
  <c r="C46" i="8" s="1"/>
  <c r="B44" i="8"/>
  <c r="C44" i="8" s="1"/>
  <c r="B45" i="8"/>
  <c r="C45" i="8" s="1"/>
  <c r="B43" i="8"/>
  <c r="B44" i="4"/>
  <c r="C44" i="4" s="1"/>
  <c r="B46" i="4"/>
  <c r="C46" i="4" s="1"/>
  <c r="B43" i="4"/>
  <c r="B45" i="4"/>
  <c r="C45" i="4" s="1"/>
  <c r="C41" i="1"/>
  <c r="C45" i="1" s="1"/>
  <c r="B45" i="1"/>
  <c r="C47" i="3"/>
  <c r="C50" i="3"/>
  <c r="D45" i="3"/>
  <c r="C70" i="3"/>
  <c r="B64" i="3"/>
  <c r="B46" i="3"/>
  <c r="C38" i="5"/>
  <c r="C41" i="5" s="1"/>
  <c r="D41" i="5" s="1"/>
  <c r="D39" i="5"/>
  <c r="D40" i="5"/>
  <c r="E37" i="5"/>
  <c r="E39" i="5"/>
  <c r="B38" i="6"/>
  <c r="B41" i="6" s="1"/>
  <c r="D38" i="6"/>
  <c r="D46" i="3"/>
  <c r="C41" i="6"/>
  <c r="D41" i="6" s="1"/>
  <c r="B43" i="7"/>
  <c r="B45" i="7"/>
  <c r="C45" i="7" s="1"/>
  <c r="B44" i="7"/>
  <c r="C44" i="7" s="1"/>
  <c r="B46" i="7"/>
  <c r="C46" i="7" s="1"/>
  <c r="D39" i="1"/>
  <c r="C59" i="14" l="1"/>
  <c r="D59" i="14" s="1"/>
  <c r="D58" i="14"/>
  <c r="C59" i="13"/>
  <c r="G58" i="13"/>
  <c r="D58" i="13"/>
  <c r="E66" i="12"/>
  <c r="C57" i="12"/>
  <c r="D57" i="12" s="1"/>
  <c r="E68" i="12"/>
  <c r="E65" i="12"/>
  <c r="C58" i="12"/>
  <c r="D75" i="10"/>
  <c r="C75" i="10"/>
  <c r="E75" i="10" s="1"/>
  <c r="C52" i="10"/>
  <c r="D48" i="10"/>
  <c r="C83" i="10"/>
  <c r="C85" i="10" s="1"/>
  <c r="A85" i="10" s="1"/>
  <c r="B81" i="10"/>
  <c r="B83" i="10" s="1"/>
  <c r="B85" i="10" s="1"/>
  <c r="B66" i="9"/>
  <c r="B48" i="9"/>
  <c r="D47" i="9"/>
  <c r="C72" i="9"/>
  <c r="C48" i="9"/>
  <c r="C43" i="8"/>
  <c r="C47" i="8" s="1"/>
  <c r="B47" i="8"/>
  <c r="B38" i="5"/>
  <c r="B41" i="5" s="1"/>
  <c r="D38" i="5"/>
  <c r="B70" i="3"/>
  <c r="B72" i="3" s="1"/>
  <c r="B74" i="3" s="1"/>
  <c r="C72" i="3"/>
  <c r="C74" i="3" s="1"/>
  <c r="A74" i="3" s="1"/>
  <c r="B63" i="1"/>
  <c r="B46" i="1"/>
  <c r="B47" i="4"/>
  <c r="C43" i="4"/>
  <c r="C47" i="4" s="1"/>
  <c r="D45" i="1"/>
  <c r="D46" i="1" s="1"/>
  <c r="C69" i="1"/>
  <c r="C46" i="1"/>
  <c r="B44" i="6"/>
  <c r="C44" i="6" s="1"/>
  <c r="B46" i="6"/>
  <c r="C46" i="6" s="1"/>
  <c r="B43" i="6"/>
  <c r="B45" i="6"/>
  <c r="C45" i="6" s="1"/>
  <c r="B47" i="7"/>
  <c r="C43" i="7"/>
  <c r="C47" i="7" s="1"/>
  <c r="F51" i="3"/>
  <c r="C51" i="3" s="1"/>
  <c r="C53" i="3" s="1"/>
  <c r="F50" i="3"/>
  <c r="A51" i="3" s="1"/>
  <c r="C64" i="3"/>
  <c r="D64" i="3"/>
  <c r="C60" i="14" l="1"/>
  <c r="C61" i="14" s="1"/>
  <c r="G61" i="14" s="1"/>
  <c r="G59" i="14"/>
  <c r="D59" i="13"/>
  <c r="G59" i="13"/>
  <c r="C60" i="13"/>
  <c r="C59" i="12"/>
  <c r="G58" i="12"/>
  <c r="D58" i="12"/>
  <c r="F52" i="10"/>
  <c r="A53" i="10" s="1"/>
  <c r="C52" i="9"/>
  <c r="D48" i="9"/>
  <c r="D66" i="9"/>
  <c r="C66" i="9"/>
  <c r="E66" i="9" s="1"/>
  <c r="B72" i="9"/>
  <c r="B74" i="9" s="1"/>
  <c r="B76" i="9" s="1"/>
  <c r="C74" i="9"/>
  <c r="C76" i="9" s="1"/>
  <c r="A76" i="9" s="1"/>
  <c r="D47" i="8"/>
  <c r="C72" i="8"/>
  <c r="C48" i="8"/>
  <c r="B66" i="8"/>
  <c r="B48" i="8"/>
  <c r="E54" i="3"/>
  <c r="E57" i="3"/>
  <c r="E55" i="3"/>
  <c r="E59" i="3"/>
  <c r="F53" i="3"/>
  <c r="D47" i="4"/>
  <c r="C48" i="4"/>
  <c r="C72" i="4"/>
  <c r="C43" i="6"/>
  <c r="C47" i="6" s="1"/>
  <c r="B47" i="6"/>
  <c r="C47" i="1"/>
  <c r="C49" i="1"/>
  <c r="B66" i="4"/>
  <c r="B48" i="4"/>
  <c r="D47" i="7"/>
  <c r="C72" i="7"/>
  <c r="C48" i="7"/>
  <c r="C71" i="1"/>
  <c r="C73" i="1" s="1"/>
  <c r="A73" i="1" s="1"/>
  <c r="B69" i="1"/>
  <c r="B71" i="1" s="1"/>
  <c r="B73" i="1" s="1"/>
  <c r="B66" i="7"/>
  <c r="B48" i="7"/>
  <c r="C63" i="1"/>
  <c r="D63" i="1"/>
  <c r="B44" i="5"/>
  <c r="C44" i="5" s="1"/>
  <c r="B46" i="5"/>
  <c r="C46" i="5" s="1"/>
  <c r="B43" i="5"/>
  <c r="B45" i="5"/>
  <c r="C45" i="5" s="1"/>
  <c r="D60" i="14" l="1"/>
  <c r="G60" i="14"/>
  <c r="D61" i="14"/>
  <c r="C62" i="14"/>
  <c r="G62" i="14" s="1"/>
  <c r="G60" i="13"/>
  <c r="D60" i="13"/>
  <c r="C61" i="13"/>
  <c r="D59" i="12"/>
  <c r="G59" i="12"/>
  <c r="C60" i="12"/>
  <c r="F53" i="10"/>
  <c r="C53" i="10" s="1"/>
  <c r="C55" i="10" s="1"/>
  <c r="F52" i="9"/>
  <c r="A53" i="9" s="1"/>
  <c r="D66" i="8"/>
  <c r="C66" i="8"/>
  <c r="E66" i="8" s="1"/>
  <c r="B72" i="8"/>
  <c r="B74" i="8" s="1"/>
  <c r="B76" i="8" s="1"/>
  <c r="C74" i="8"/>
  <c r="C76" i="8" s="1"/>
  <c r="A76" i="8" s="1"/>
  <c r="C52" i="8"/>
  <c r="D48" i="8"/>
  <c r="C43" i="5"/>
  <c r="C47" i="5" s="1"/>
  <c r="B47" i="5"/>
  <c r="B72" i="7"/>
  <c r="B74" i="7" s="1"/>
  <c r="B76" i="7" s="1"/>
  <c r="C74" i="7"/>
  <c r="C76" i="7" s="1"/>
  <c r="A76" i="7" s="1"/>
  <c r="C49" i="4"/>
  <c r="C52" i="4" s="1"/>
  <c r="D48" i="4"/>
  <c r="B66" i="6"/>
  <c r="B48" i="6"/>
  <c r="D48" i="7"/>
  <c r="C52" i="7"/>
  <c r="D66" i="4"/>
  <c r="C66" i="4"/>
  <c r="E66" i="4" s="1"/>
  <c r="D47" i="6"/>
  <c r="C72" i="6"/>
  <c r="C48" i="6"/>
  <c r="E53" i="3"/>
  <c r="E58" i="3" s="1"/>
  <c r="F56" i="3"/>
  <c r="F58" i="3" s="1"/>
  <c r="C66" i="7"/>
  <c r="E66" i="7" s="1"/>
  <c r="D66" i="7"/>
  <c r="F49" i="1"/>
  <c r="A50" i="1" s="1"/>
  <c r="C74" i="4"/>
  <c r="C76" i="4" s="1"/>
  <c r="A76" i="4" s="1"/>
  <c r="B72" i="4"/>
  <c r="B74" i="4" s="1"/>
  <c r="B76" i="4" s="1"/>
  <c r="C63" i="14" l="1"/>
  <c r="D63" i="14" s="1"/>
  <c r="D62" i="14"/>
  <c r="G61" i="13"/>
  <c r="D61" i="13"/>
  <c r="C62" i="13"/>
  <c r="D60" i="12"/>
  <c r="G60" i="12"/>
  <c r="C61" i="12"/>
  <c r="C62" i="12" s="1"/>
  <c r="C57" i="10"/>
  <c r="D57" i="10" s="1"/>
  <c r="E65" i="10"/>
  <c r="E66" i="10"/>
  <c r="E68" i="10"/>
  <c r="F53" i="9"/>
  <c r="C53" i="9" s="1"/>
  <c r="C55" i="9" s="1"/>
  <c r="F52" i="8"/>
  <c r="A53" i="8" s="1"/>
  <c r="F50" i="1"/>
  <c r="C50" i="1" s="1"/>
  <c r="C52" i="1" s="1"/>
  <c r="E53" i="1" s="1"/>
  <c r="F52" i="1"/>
  <c r="E54" i="1"/>
  <c r="E56" i="1"/>
  <c r="B72" i="6"/>
  <c r="B74" i="6" s="1"/>
  <c r="B76" i="6" s="1"/>
  <c r="C74" i="6"/>
  <c r="C76" i="6" s="1"/>
  <c r="A76" i="6" s="1"/>
  <c r="C66" i="6"/>
  <c r="E66" i="6" s="1"/>
  <c r="D66" i="6"/>
  <c r="C58" i="3"/>
  <c r="A58" i="3"/>
  <c r="F52" i="7"/>
  <c r="A53" i="7" s="1"/>
  <c r="F52" i="4"/>
  <c r="A53" i="4" s="1"/>
  <c r="B66" i="5"/>
  <c r="B48" i="5"/>
  <c r="D48" i="6"/>
  <c r="C52" i="6"/>
  <c r="D47" i="5"/>
  <c r="C72" i="5"/>
  <c r="C48" i="5"/>
  <c r="F55" i="14" l="1"/>
  <c r="F67" i="14" s="1"/>
  <c r="G63" i="14"/>
  <c r="E73" i="14" s="1"/>
  <c r="G62" i="13"/>
  <c r="D62" i="13"/>
  <c r="C63" i="13"/>
  <c r="G62" i="12"/>
  <c r="D62" i="12"/>
  <c r="C63" i="12"/>
  <c r="G61" i="12"/>
  <c r="D61" i="12"/>
  <c r="C58" i="10"/>
  <c r="E61" i="9"/>
  <c r="E57" i="9"/>
  <c r="E56" i="9"/>
  <c r="E59" i="9"/>
  <c r="F55" i="9"/>
  <c r="F53" i="8"/>
  <c r="C53" i="8" s="1"/>
  <c r="C55" i="8" s="1"/>
  <c r="E57" i="8" s="1"/>
  <c r="E58" i="1"/>
  <c r="C66" i="5"/>
  <c r="E66" i="5" s="1"/>
  <c r="D66" i="5"/>
  <c r="D58" i="3"/>
  <c r="B65" i="3"/>
  <c r="C59" i="3"/>
  <c r="D59" i="3" s="1"/>
  <c r="F53" i="4"/>
  <c r="C53" i="4" s="1"/>
  <c r="C55" i="4" s="1"/>
  <c r="F53" i="7"/>
  <c r="C53" i="7" s="1"/>
  <c r="C55" i="7" s="1"/>
  <c r="F52" i="6"/>
  <c r="A53" i="6" s="1"/>
  <c r="D48" i="5"/>
  <c r="C52" i="5"/>
  <c r="C74" i="5"/>
  <c r="C76" i="5" s="1"/>
  <c r="A76" i="5" s="1"/>
  <c r="B72" i="5"/>
  <c r="B74" i="5" s="1"/>
  <c r="B76" i="5" s="1"/>
  <c r="E52" i="1"/>
  <c r="E57" i="1" s="1"/>
  <c r="F55" i="1"/>
  <c r="F57" i="1" s="1"/>
  <c r="F70" i="14" l="1"/>
  <c r="F72" i="14" s="1"/>
  <c r="E55" i="14"/>
  <c r="E72" i="14" s="1"/>
  <c r="D63" i="13"/>
  <c r="F55" i="13" s="1"/>
  <c r="G63" i="13"/>
  <c r="E70" i="13" s="1"/>
  <c r="D63" i="12"/>
  <c r="F55" i="12" s="1"/>
  <c r="G63" i="12"/>
  <c r="E70" i="12" s="1"/>
  <c r="G58" i="10"/>
  <c r="D58" i="10"/>
  <c r="C59" i="10"/>
  <c r="F58" i="9"/>
  <c r="F60" i="9" s="1"/>
  <c r="E55" i="9"/>
  <c r="E60" i="9" s="1"/>
  <c r="F55" i="8"/>
  <c r="E61" i="8"/>
  <c r="E59" i="8"/>
  <c r="E56" i="8"/>
  <c r="E55" i="8"/>
  <c r="E60" i="8" s="1"/>
  <c r="F58" i="8"/>
  <c r="F60" i="8" s="1"/>
  <c r="F55" i="7"/>
  <c r="E56" i="7"/>
  <c r="E59" i="7"/>
  <c r="E57" i="7"/>
  <c r="E61" i="7"/>
  <c r="E59" i="4"/>
  <c r="E61" i="4"/>
  <c r="E56" i="4"/>
  <c r="F55" i="4"/>
  <c r="E57" i="4"/>
  <c r="C57" i="1"/>
  <c r="A57" i="1"/>
  <c r="F52" i="5"/>
  <c r="A53" i="5" s="1"/>
  <c r="F53" i="6"/>
  <c r="C53" i="6" s="1"/>
  <c r="C55" i="6" s="1"/>
  <c r="C65" i="3"/>
  <c r="D65" i="3"/>
  <c r="B66" i="3"/>
  <c r="A72" i="14" l="1"/>
  <c r="C72" i="14"/>
  <c r="B79" i="14" s="1"/>
  <c r="E55" i="13"/>
  <c r="E69" i="13" s="1"/>
  <c r="F67" i="13"/>
  <c r="F69" i="13" s="1"/>
  <c r="F67" i="12"/>
  <c r="F69" i="12" s="1"/>
  <c r="E55" i="12"/>
  <c r="E69" i="12" s="1"/>
  <c r="D59" i="10"/>
  <c r="G59" i="10"/>
  <c r="C60" i="10"/>
  <c r="C60" i="9"/>
  <c r="A60" i="9"/>
  <c r="A60" i="8"/>
  <c r="C60" i="8"/>
  <c r="F53" i="5"/>
  <c r="C53" i="5" s="1"/>
  <c r="C55" i="5" s="1"/>
  <c r="E56" i="6"/>
  <c r="E59" i="6"/>
  <c r="E57" i="6"/>
  <c r="E61" i="6"/>
  <c r="F55" i="6"/>
  <c r="E55" i="4"/>
  <c r="E60" i="4" s="1"/>
  <c r="F58" i="4"/>
  <c r="F60" i="4" s="1"/>
  <c r="D66" i="3"/>
  <c r="B67" i="3"/>
  <c r="C66" i="3"/>
  <c r="C81" i="3" s="1"/>
  <c r="B64" i="1"/>
  <c r="D57" i="1"/>
  <c r="C58" i="1"/>
  <c r="D58" i="1" s="1"/>
  <c r="F58" i="7"/>
  <c r="F60" i="7" s="1"/>
  <c r="E55" i="7"/>
  <c r="E60" i="7" s="1"/>
  <c r="C73" i="14" l="1"/>
  <c r="D73" i="14" s="1"/>
  <c r="D72" i="14"/>
  <c r="D79" i="14"/>
  <c r="C79" i="14"/>
  <c r="B80" i="14"/>
  <c r="C69" i="13"/>
  <c r="A69" i="13"/>
  <c r="C69" i="12"/>
  <c r="A69" i="12"/>
  <c r="D60" i="10"/>
  <c r="G60" i="10"/>
  <c r="C61" i="10"/>
  <c r="B67" i="9"/>
  <c r="D60" i="9"/>
  <c r="C61" i="9"/>
  <c r="D61" i="9" s="1"/>
  <c r="B67" i="8"/>
  <c r="D60" i="8"/>
  <c r="C61" i="8"/>
  <c r="D61" i="8" s="1"/>
  <c r="A60" i="7"/>
  <c r="C60" i="7"/>
  <c r="B81" i="3"/>
  <c r="E82" i="3"/>
  <c r="E84" i="3" s="1"/>
  <c r="C84" i="3"/>
  <c r="A84" i="3" s="1"/>
  <c r="E55" i="6"/>
  <c r="E60" i="6" s="1"/>
  <c r="F58" i="6"/>
  <c r="F60" i="6" s="1"/>
  <c r="C64" i="1"/>
  <c r="D64" i="1"/>
  <c r="B65" i="1"/>
  <c r="C60" i="4"/>
  <c r="A60" i="4"/>
  <c r="E56" i="5"/>
  <c r="E59" i="5"/>
  <c r="E61" i="5"/>
  <c r="E57" i="5"/>
  <c r="F55" i="5"/>
  <c r="C80" i="14" l="1"/>
  <c r="C95" i="14" s="1"/>
  <c r="B81" i="14"/>
  <c r="D80" i="14"/>
  <c r="B76" i="13"/>
  <c r="D69" i="13"/>
  <c r="C70" i="13"/>
  <c r="D70" i="13" s="1"/>
  <c r="D69" i="12"/>
  <c r="B76" i="12"/>
  <c r="C70" i="12"/>
  <c r="D70" i="12" s="1"/>
  <c r="G61" i="10"/>
  <c r="D61" i="10"/>
  <c r="C62" i="10"/>
  <c r="C63" i="10" s="1"/>
  <c r="D67" i="9"/>
  <c r="C67" i="9"/>
  <c r="B68" i="9"/>
  <c r="D67" i="8"/>
  <c r="C67" i="8"/>
  <c r="B68" i="8"/>
  <c r="E55" i="5"/>
  <c r="E60" i="5" s="1"/>
  <c r="F58" i="5"/>
  <c r="F60" i="5" s="1"/>
  <c r="D60" i="4"/>
  <c r="B67" i="4"/>
  <c r="C61" i="4"/>
  <c r="D61" i="4" s="1"/>
  <c r="C60" i="6"/>
  <c r="A60" i="6"/>
  <c r="D65" i="1"/>
  <c r="B66" i="1"/>
  <c r="C65" i="1"/>
  <c r="C80" i="1" s="1"/>
  <c r="B67" i="7"/>
  <c r="D60" i="7"/>
  <c r="C61" i="7"/>
  <c r="D61" i="7" s="1"/>
  <c r="B95" i="14" l="1"/>
  <c r="C98" i="14"/>
  <c r="A98" i="14" s="1"/>
  <c r="E96" i="14"/>
  <c r="E98" i="14" s="1"/>
  <c r="D76" i="13"/>
  <c r="C76" i="13"/>
  <c r="B77" i="13"/>
  <c r="D76" i="12"/>
  <c r="C76" i="12"/>
  <c r="B77" i="12"/>
  <c r="D63" i="10"/>
  <c r="G63" i="10"/>
  <c r="G62" i="10"/>
  <c r="D62" i="10"/>
  <c r="B69" i="9"/>
  <c r="D68" i="9"/>
  <c r="C68" i="9"/>
  <c r="C83" i="9" s="1"/>
  <c r="B69" i="8"/>
  <c r="D68" i="8"/>
  <c r="C68" i="8"/>
  <c r="C83" i="8" s="1"/>
  <c r="D67" i="4"/>
  <c r="C67" i="4"/>
  <c r="B68" i="4"/>
  <c r="C67" i="7"/>
  <c r="D67" i="7"/>
  <c r="B68" i="7"/>
  <c r="C83" i="1"/>
  <c r="A83" i="1" s="1"/>
  <c r="B80" i="1"/>
  <c r="E81" i="1"/>
  <c r="E83" i="1" s="1"/>
  <c r="B67" i="6"/>
  <c r="D60" i="6"/>
  <c r="C61" i="6"/>
  <c r="D61" i="6" s="1"/>
  <c r="C60" i="5"/>
  <c r="A60" i="5"/>
  <c r="C77" i="13" l="1"/>
  <c r="C92" i="13" s="1"/>
  <c r="B78" i="13"/>
  <c r="D77" i="13"/>
  <c r="C77" i="12"/>
  <c r="C92" i="12" s="1"/>
  <c r="B78" i="12"/>
  <c r="D77" i="12"/>
  <c r="E70" i="10"/>
  <c r="F55" i="10"/>
  <c r="E55" i="10" s="1"/>
  <c r="E69" i="10" s="1"/>
  <c r="C86" i="9"/>
  <c r="A86" i="9" s="1"/>
  <c r="E84" i="9"/>
  <c r="E86" i="9" s="1"/>
  <c r="B83" i="9"/>
  <c r="E84" i="8"/>
  <c r="E86" i="8" s="1"/>
  <c r="B83" i="8"/>
  <c r="C86" i="8"/>
  <c r="A86" i="8" s="1"/>
  <c r="B69" i="4"/>
  <c r="D68" i="4"/>
  <c r="C68" i="4"/>
  <c r="C83" i="4" s="1"/>
  <c r="C67" i="6"/>
  <c r="D67" i="6"/>
  <c r="B68" i="6"/>
  <c r="C68" i="7"/>
  <c r="C83" i="7" s="1"/>
  <c r="D68" i="7"/>
  <c r="B69" i="7"/>
  <c r="D60" i="5"/>
  <c r="B67" i="5"/>
  <c r="C61" i="5"/>
  <c r="D61" i="5" s="1"/>
  <c r="B92" i="13" l="1"/>
  <c r="C95" i="13"/>
  <c r="A95" i="13" s="1"/>
  <c r="E93" i="13"/>
  <c r="E95" i="13" s="1"/>
  <c r="E93" i="12"/>
  <c r="E95" i="12" s="1"/>
  <c r="B92" i="12"/>
  <c r="C95" i="12"/>
  <c r="A95" i="12" s="1"/>
  <c r="F67" i="10"/>
  <c r="F69" i="10" s="1"/>
  <c r="C69" i="10" s="1"/>
  <c r="C67" i="5"/>
  <c r="D67" i="5"/>
  <c r="B68" i="5"/>
  <c r="E84" i="7"/>
  <c r="E86" i="7" s="1"/>
  <c r="B83" i="7"/>
  <c r="C86" i="7"/>
  <c r="A86" i="7" s="1"/>
  <c r="B83" i="4"/>
  <c r="C86" i="4"/>
  <c r="A86" i="4" s="1"/>
  <c r="E84" i="4"/>
  <c r="E86" i="4" s="1"/>
  <c r="C68" i="6"/>
  <c r="C83" i="6" s="1"/>
  <c r="D68" i="6"/>
  <c r="B69" i="6"/>
  <c r="A69" i="10" l="1"/>
  <c r="C70" i="10"/>
  <c r="D70" i="10" s="1"/>
  <c r="B76" i="10"/>
  <c r="D69" i="10"/>
  <c r="D68" i="5"/>
  <c r="B69" i="5"/>
  <c r="C68" i="5"/>
  <c r="C83" i="5" s="1"/>
  <c r="B83" i="6"/>
  <c r="C86" i="6"/>
  <c r="A86" i="6" s="1"/>
  <c r="E84" i="6"/>
  <c r="E86" i="6" s="1"/>
  <c r="B77" i="10" l="1"/>
  <c r="C76" i="10"/>
  <c r="D76" i="10"/>
  <c r="B83" i="5"/>
  <c r="C86" i="5"/>
  <c r="A86" i="5" s="1"/>
  <c r="E84" i="5"/>
  <c r="E86" i="5" s="1"/>
  <c r="C77" i="10" l="1"/>
  <c r="C92" i="10" s="1"/>
  <c r="D77" i="10"/>
  <c r="B78" i="10"/>
  <c r="C95" i="10" l="1"/>
  <c r="A95" i="10" s="1"/>
  <c r="E93" i="10"/>
  <c r="E95" i="10" s="1"/>
  <c r="B92" i="10"/>
  <c r="G73" i="25" l="1"/>
  <c r="G75" i="25" s="1"/>
</calcChain>
</file>

<file path=xl/comments1.xml><?xml version="1.0" encoding="utf-8"?>
<comments xmlns="http://schemas.openxmlformats.org/spreadsheetml/2006/main">
  <authors>
    <author>Clemens</author>
  </authors>
  <commentLis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7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8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9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</commentList>
</comments>
</file>

<file path=xl/comments10.xml><?xml version="1.0" encoding="utf-8"?>
<comments xmlns="http://schemas.openxmlformats.org/spreadsheetml/2006/main">
  <authors>
    <author>Clemens</author>
    <author>clemens öhlböck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440,-/Jahr 
(bei Partnersplit:  300,- .. 68% 
je Unterhaltspflichtigen)
</t>
        </r>
      </text>
    </comment>
  </commentList>
</comments>
</file>

<file path=xl/comments11.xml><?xml version="1.0" encoding="utf-8"?>
<comments xmlns="http://schemas.openxmlformats.org/spreadsheetml/2006/main">
  <authors>
    <author>Clemens</author>
    <author>clemens öhlböck</author>
    <author>*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220,-/Jahr 
(bei Partnersplit:  132,- .. 60% 
je Unterhaltspflichtigen)
</t>
        </r>
      </text>
    </comment>
    <comment ref="F59" authorId="2" shapeId="0">
      <text>
        <r>
          <rPr>
            <sz val="10"/>
            <color indexed="81"/>
            <rFont val="Tahoma"/>
            <family val="2"/>
          </rPr>
          <t>1. Kind ..  29,20 je Monat
2. Kind ..  43,80 je Monat
weitere .. 58,40 je Monat</t>
        </r>
      </text>
    </comment>
  </commentList>
</comments>
</file>

<file path=xl/comments12.xml><?xml version="1.0" encoding="utf-8"?>
<comments xmlns="http://schemas.openxmlformats.org/spreadsheetml/2006/main">
  <authors>
    <author>Clemens</author>
    <author>clemens öhlböck</author>
    <author>*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220,-/Jahr 
(bei Partnersplit:  132,- .. 60% 
je Unterhaltspflichtigen)
</t>
        </r>
      </text>
    </comment>
    <comment ref="F59" authorId="2" shapeId="0">
      <text>
        <r>
          <rPr>
            <sz val="10"/>
            <color indexed="81"/>
            <rFont val="Tahoma"/>
            <family val="2"/>
          </rPr>
          <t>1. Kind ..  29,20 je Monat
2. Kind ..  43,80 je Monat
weitere .. 58,40 je Monat</t>
        </r>
      </text>
    </comment>
  </commentList>
</comments>
</file>

<file path=xl/comments13.xml><?xml version="1.0" encoding="utf-8"?>
<comments xmlns="http://schemas.openxmlformats.org/spreadsheetml/2006/main">
  <authors>
    <author>Clemens</author>
    <author>clemens öhlböck</author>
    <author>*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220,-/Jahr 
(bei Partnersplit:  132,- .. 60% 
je Unterhaltspflichtigen)
</t>
        </r>
      </text>
    </comment>
    <comment ref="F59" authorId="2" shapeId="0">
      <text>
        <r>
          <rPr>
            <sz val="10"/>
            <color indexed="81"/>
            <rFont val="Tahoma"/>
            <family val="2"/>
          </rPr>
          <t>1. Kind ..  29,20 je Monat
2. Kind ..  43,80 je Monat
weitere .. 58,40 je Monat</t>
        </r>
      </text>
    </comment>
  </commentList>
</comments>
</file>

<file path=xl/comments14.xml><?xml version="1.0" encoding="utf-8"?>
<comments xmlns="http://schemas.openxmlformats.org/spreadsheetml/2006/main">
  <authors>
    <author>Clemens</author>
    <author>clemens öhlböck</author>
    <author>*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220,-/Jahr 
(bei Partnersplit:  132,- .. 60% 
je Unterhaltspflichtigen)
</t>
        </r>
      </text>
    </comment>
    <comment ref="F59" authorId="2" shapeId="0">
      <text>
        <r>
          <rPr>
            <sz val="10"/>
            <color indexed="81"/>
            <rFont val="Tahoma"/>
            <family val="2"/>
          </rPr>
          <t>1. Kind ..  29,20 je Monat
2. Kind ..  43,80 je Monat
weitere .. 58,40 je Monat</t>
        </r>
      </text>
    </comment>
  </commentList>
</comments>
</file>

<file path=xl/comments15.xml><?xml version="1.0" encoding="utf-8"?>
<comments xmlns="http://schemas.openxmlformats.org/spreadsheetml/2006/main">
  <authors>
    <author>Clemens</author>
    <author>clemens öhlböck</author>
    <author>*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220,-/Jahr 
(bei Partnersplit:  132,- .. 60% 
je Unterhaltspflichtigen)
</t>
        </r>
      </text>
    </comment>
    <comment ref="F59" authorId="2" shapeId="0">
      <text>
        <r>
          <rPr>
            <sz val="10"/>
            <color indexed="81"/>
            <rFont val="Tahoma"/>
            <family val="2"/>
          </rPr>
          <t>1. Kind ..  29,20 je Monat
2. Kind ..  43,80 je Monat
weitere .. 58,40 je Monat</t>
        </r>
      </text>
    </comment>
  </commentList>
</comments>
</file>

<file path=xl/comments16.xml><?xml version="1.0" encoding="utf-8"?>
<comments xmlns="http://schemas.openxmlformats.org/spreadsheetml/2006/main">
  <authors>
    <author>Clemens</author>
    <author>clemens öhlböck</author>
    <author>*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220,-/Jahr 
(bei Partnersplit:  132,- .. 60% 
je Unterhaltspflichtigen)
</t>
        </r>
      </text>
    </comment>
    <comment ref="F59" authorId="2" shapeId="0">
      <text>
        <r>
          <rPr>
            <sz val="10"/>
            <color indexed="81"/>
            <rFont val="Tahoma"/>
            <family val="2"/>
          </rPr>
          <t>1. Kind ..  29,20 je Monat
2. Kind ..  43,80 je Monat
weitere .. 58,40 je Monat</t>
        </r>
      </text>
    </comment>
  </commentList>
</comments>
</file>

<file path=xl/comments17.xml><?xml version="1.0" encoding="utf-8"?>
<comments xmlns="http://schemas.openxmlformats.org/spreadsheetml/2006/main">
  <authors>
    <author>Clemens</author>
    <author>clemens öhlböck</author>
    <author>*</author>
  </authors>
  <commentList>
    <comment ref="D41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2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49" authorId="1" shapeId="0">
      <text>
        <r>
          <rPr>
            <sz val="10"/>
            <color indexed="81"/>
            <rFont val="Tahoma"/>
            <family val="2"/>
          </rPr>
          <t xml:space="preserve">je Kind 220,-/Jahr 
(bei Partnersplit:  60% 
je Unterhaltspflichtigen)
</t>
        </r>
      </text>
    </comment>
    <comment ref="F57" authorId="2" shapeId="0">
      <text>
        <r>
          <rPr>
            <sz val="10"/>
            <color indexed="81"/>
            <rFont val="Tahoma"/>
            <family val="2"/>
          </rPr>
          <t>1. Kind ..  29,20 je Monat
2. Kind ..  43,80 je Monat
weitere .. 58,40 je Monat</t>
        </r>
      </text>
    </comment>
  </commentList>
</comments>
</file>

<file path=xl/comments18.xml><?xml version="1.0" encoding="utf-8"?>
<comments xmlns="http://schemas.openxmlformats.org/spreadsheetml/2006/main">
  <authors>
    <author>Clemens</author>
    <author>*</author>
  </authors>
  <commentList>
    <comment ref="D41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2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F56" authorId="1" shapeId="0">
      <text>
        <r>
          <rPr>
            <sz val="10"/>
            <color indexed="81"/>
            <rFont val="Tahoma"/>
            <family val="2"/>
          </rPr>
          <t>1. Kind ..  25,50 je Monat
2. Kind ..  38,20 je Monat
weitere .. 50,90 je Monat</t>
        </r>
      </text>
    </comment>
  </commentList>
</comments>
</file>

<file path=xl/comments2.xml><?xml version="1.0" encoding="utf-8"?>
<comments xmlns="http://schemas.openxmlformats.org/spreadsheetml/2006/main">
  <authors>
    <author>Clemens</author>
  </authors>
  <commentLis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7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8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9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</commentList>
</comments>
</file>

<file path=xl/comments3.xml><?xml version="1.0" encoding="utf-8"?>
<comments xmlns="http://schemas.openxmlformats.org/spreadsheetml/2006/main">
  <authors>
    <author>Clemens</author>
  </authors>
  <commentLis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7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8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9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</commentList>
</comments>
</file>

<file path=xl/comments4.xml><?xml version="1.0" encoding="utf-8"?>
<comments xmlns="http://schemas.openxmlformats.org/spreadsheetml/2006/main">
  <authors>
    <author>Clemens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</commentList>
</comments>
</file>

<file path=xl/comments5.xml><?xml version="1.0" encoding="utf-8"?>
<comments xmlns="http://schemas.openxmlformats.org/spreadsheetml/2006/main">
  <authors>
    <author>Clemens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</commentList>
</comments>
</file>

<file path=xl/comments6.xml><?xml version="1.0" encoding="utf-8"?>
<comments xmlns="http://schemas.openxmlformats.org/spreadsheetml/2006/main">
  <authors>
    <author>Clemens</author>
    <author>clemens öhlböck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440,-/Jahr 
(bei Partnersplit:  300,- .. 68% 
je Unterhaltspflichtigen)
</t>
        </r>
      </text>
    </comment>
  </commentList>
</comments>
</file>

<file path=xl/comments7.xml><?xml version="1.0" encoding="utf-8"?>
<comments xmlns="http://schemas.openxmlformats.org/spreadsheetml/2006/main">
  <authors>
    <author>Clemens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</commentList>
</comments>
</file>

<file path=xl/comments8.xml><?xml version="1.0" encoding="utf-8"?>
<comments xmlns="http://schemas.openxmlformats.org/spreadsheetml/2006/main">
  <authors>
    <author>Clemens</author>
    <author>clemens öhlböck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440,-/Jahr 
(bei Partnersplit:  300,- .. 68% 
je Unterhaltspflichtigen)
</t>
        </r>
      </text>
    </comment>
  </commentList>
</comments>
</file>

<file path=xl/comments9.xml><?xml version="1.0" encoding="utf-8"?>
<comments xmlns="http://schemas.openxmlformats.org/spreadsheetml/2006/main">
  <authors>
    <author>Clemens</author>
    <author>clemens öhlböck</author>
  </authors>
  <commentList>
    <comment ref="D43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Pensionsversicherungsbeitrag in Prozent des Jahres</t>
        </r>
      </text>
    </comment>
    <comment ref="D44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Krankenversicherungsbeitrag in Prozent des Jahres</t>
        </r>
      </text>
    </comment>
    <comment ref="D45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Beitrag zur Abfertigung Neu (ab dem Jahr 2008).
1,53 % der vorläufigen Bemessungsgrundlage des Jahres (ohne spätere Nachbemessung)!
</t>
        </r>
      </text>
    </comment>
    <comment ref="D46" authorId="0" shapeId="0">
      <text>
        <r>
          <rPr>
            <b/>
            <sz val="10"/>
            <color indexed="81"/>
            <rFont val="Tahoma"/>
            <family val="2"/>
          </rPr>
          <t>RVO:</t>
        </r>
        <r>
          <rPr>
            <sz val="10"/>
            <color indexed="81"/>
            <rFont val="Tahoma"/>
            <family val="2"/>
          </rPr>
          <t xml:space="preserve">
Eingabefeld für den Arbeitslosenversicherungsbeitrag (ab dem Jahr 2009). Voraussichtlich 6 % der Bemessungsgrundlage, wobei drei Varianten möglich sein werden:
1/4 der Höchstbemessungsgrundlage oder
1/2 der Höchstbemessungsgrundlage oder
3/4 der Höchstbemessungsgrundlage
</t>
        </r>
      </text>
    </comment>
    <comment ref="C51" authorId="1" shapeId="0">
      <text>
        <r>
          <rPr>
            <sz val="10"/>
            <color indexed="81"/>
            <rFont val="Tahoma"/>
            <family val="2"/>
          </rPr>
          <t xml:space="preserve">je Kind 440,-/Jahr 
(bei Partnersplit:  300,- .. 68% 
je Unterhaltspflichtigen)
</t>
        </r>
      </text>
    </comment>
  </commentList>
</comments>
</file>

<file path=xl/sharedStrings.xml><?xml version="1.0" encoding="utf-8"?>
<sst xmlns="http://schemas.openxmlformats.org/spreadsheetml/2006/main" count="2120" uniqueCount="196">
  <si>
    <t>Monat €</t>
  </si>
  <si>
    <t>Jahr €</t>
  </si>
  <si>
    <t>Anmerkung</t>
  </si>
  <si>
    <t>Budget Einkommen</t>
  </si>
  <si>
    <t>Prozent</t>
  </si>
  <si>
    <t>Einnahmen</t>
  </si>
  <si>
    <t>Aufwendungen ohne SV</t>
  </si>
  <si>
    <t>Sozialversicherung (SV)</t>
  </si>
  <si>
    <t>Alleinverdiener, -erzieherabsetzbetrag</t>
  </si>
  <si>
    <t>Ausgaben (cash flow)</t>
  </si>
  <si>
    <t>Fremdleistungen</t>
  </si>
  <si>
    <t>AFA, Absetzung f. Abnutzung</t>
  </si>
  <si>
    <t>Abgaben und Beiträge</t>
  </si>
  <si>
    <t>Instandhaltungen, Kleinmaterialien</t>
  </si>
  <si>
    <t>Porto-, Fracht-, Transportaufwand d. Dritte</t>
  </si>
  <si>
    <t>Telekommunikation</t>
  </si>
  <si>
    <t>Geschäftsmieten, Leasing, Raumkosten</t>
  </si>
  <si>
    <t>Lizenz- u. Wartungsgebühren, Provisionen</t>
  </si>
  <si>
    <t>Büromaterial, Fachliteratur</t>
  </si>
  <si>
    <t>Werbung, Repräsentationen</t>
  </si>
  <si>
    <t>sonstige Aufwendungen</t>
  </si>
  <si>
    <t>Zinsen und ähnliche Aufwendungen</t>
  </si>
  <si>
    <t>Ausgaben / Aufwendungen</t>
  </si>
  <si>
    <t>Personalkosten</t>
  </si>
  <si>
    <t>Wareneinkauf</t>
  </si>
  <si>
    <t>Taggelder u. Kilometergelder</t>
  </si>
  <si>
    <t>KFZ-Aufwand (ohne AfA, Leasing u. Kilometergeld)</t>
  </si>
  <si>
    <t>Reise-, Fahrtspesen</t>
  </si>
  <si>
    <t>Energie, Betriebskosten</t>
  </si>
  <si>
    <t>Einnahmen / Erlöse</t>
  </si>
  <si>
    <t>Erlöse 2</t>
  </si>
  <si>
    <t>Erlöse 1</t>
  </si>
  <si>
    <t>Erlöse 3</t>
  </si>
  <si>
    <t>Erlöse 4</t>
  </si>
  <si>
    <t>Erlöse 5</t>
  </si>
  <si>
    <t>Erlöse 6</t>
  </si>
  <si>
    <t>Erlöse 7</t>
  </si>
  <si>
    <t>Erlöse 8</t>
  </si>
  <si>
    <t>Summe Erlöse</t>
  </si>
  <si>
    <t>Summe Aufwendungen</t>
  </si>
  <si>
    <t>http://www.rvo.at/</t>
  </si>
  <si>
    <t>Versicherungen, Beratungen</t>
  </si>
  <si>
    <t>SV-Bemessungsgrundlage</t>
  </si>
  <si>
    <t>SV-Beitragssätze  |   Mindestbmg   |   Höchstbmg</t>
  </si>
  <si>
    <t>RVO Jahresbudget created by "RVO - rechnungswesen vor ort"</t>
  </si>
  <si>
    <r>
      <t>Einkünfte</t>
    </r>
    <r>
      <rPr>
        <sz val="9"/>
        <rFont val="Arial"/>
        <family val="2"/>
      </rPr>
      <t xml:space="preserve"> gesamt</t>
    </r>
  </si>
  <si>
    <t>|      Ist-Werte       |</t>
  </si>
  <si>
    <t>Max / Min</t>
  </si>
  <si>
    <r>
      <t>Topf</t>
    </r>
    <r>
      <rPr>
        <sz val="9"/>
        <rFont val="Arial"/>
        <family val="2"/>
      </rPr>
      <t>-Sonderausgaben § 18 (1) Z 2-4</t>
    </r>
  </si>
  <si>
    <t>andere Sonderausgaben</t>
  </si>
  <si>
    <t>Einkünfte nach Sonderausgaben</t>
  </si>
  <si>
    <r>
      <t xml:space="preserve">außergew. Belastungen </t>
    </r>
    <r>
      <rPr>
        <i/>
        <sz val="9"/>
        <rFont val="Arial"/>
        <family val="2"/>
      </rPr>
      <t>ohne</t>
    </r>
    <r>
      <rPr>
        <sz val="9"/>
        <rFont val="Arial"/>
        <family val="2"/>
      </rPr>
      <t xml:space="preserve"> Selbstbehalt</t>
    </r>
  </si>
  <si>
    <t>Kinderzugschlag zum AVAB</t>
  </si>
  <si>
    <t>Zwischensumme</t>
  </si>
  <si>
    <t>Unterhaltsabsetzbetrag</t>
  </si>
  <si>
    <t>12 Monatsbezüge</t>
  </si>
  <si>
    <t>14 Monatsbezüge</t>
  </si>
  <si>
    <t>off cash flow</t>
  </si>
  <si>
    <t>rvo.at</t>
  </si>
  <si>
    <t>EBITDA (Ergebnis vor Zinsen u. Afa)</t>
  </si>
  <si>
    <t>Finanzergebnis (Zinsen)</t>
  </si>
  <si>
    <t>Ergebnis nach Zinsen, vor Afa</t>
  </si>
  <si>
    <t>Afa</t>
  </si>
  <si>
    <r>
      <t xml:space="preserve">Budget </t>
    </r>
    <r>
      <rPr>
        <b/>
        <sz val="9"/>
        <rFont val="Arial"/>
        <family val="2"/>
      </rPr>
      <t>Cash Flow</t>
    </r>
  </si>
  <si>
    <r>
      <t>Budget</t>
    </r>
    <r>
      <rPr>
        <b/>
        <sz val="10"/>
        <rFont val="Arial"/>
        <family val="2"/>
      </rPr>
      <t xml:space="preserve"> EBITDA </t>
    </r>
  </si>
  <si>
    <r>
      <t>Budget</t>
    </r>
    <r>
      <rPr>
        <b/>
        <sz val="10"/>
        <rFont val="Arial"/>
        <family val="2"/>
      </rPr>
      <t xml:space="preserve"> Finanz-/Kapitalbedarf</t>
    </r>
  </si>
  <si>
    <t>Investitionen in Anlagen</t>
  </si>
  <si>
    <t>Investitionen in Umlaufvermögen</t>
  </si>
  <si>
    <t>Investitionsbedarf</t>
  </si>
  <si>
    <t>Eigenmittelzuführung f.Investitionen</t>
  </si>
  <si>
    <t>Cash flow d. Erwerbseinkommen</t>
  </si>
  <si>
    <t>laufende Lebenshaltungskosten</t>
  </si>
  <si>
    <t>sonstige Entnahmen/Einlagen</t>
  </si>
  <si>
    <t>sva.or.at</t>
  </si>
  <si>
    <t>| aktuelle Werte</t>
  </si>
  <si>
    <t>Afg .. Abfertigung Neu (ab 2008)</t>
  </si>
  <si>
    <t>Alv .. Arbeitslosenvers. (ab 2009)</t>
  </si>
  <si>
    <t>UV .. Unfallversicherung</t>
  </si>
  <si>
    <t>PV .. Pensionsversicherung</t>
  </si>
  <si>
    <t>KV .. Krankenversicherung</t>
  </si>
  <si>
    <t>FBiG, Freibetrag investierte Gewinne</t>
  </si>
  <si>
    <r>
      <t>Einkommen</t>
    </r>
    <r>
      <rPr>
        <sz val="9"/>
        <rFont val="Arial"/>
        <family val="2"/>
      </rPr>
      <t xml:space="preserve"> - Steuer </t>
    </r>
    <r>
      <rPr>
        <sz val="8"/>
        <rFont val="Arial"/>
        <family val="2"/>
      </rPr>
      <t>(2008 bis 2005)</t>
    </r>
  </si>
  <si>
    <r>
      <t xml:space="preserve">Jahreseinkommen nach Est </t>
    </r>
    <r>
      <rPr>
        <sz val="8"/>
        <rFont val="Arial"/>
        <family val="2"/>
      </rPr>
      <t>(f.d. Jahre 2008 bis 2005)</t>
    </r>
  </si>
  <si>
    <r>
      <t xml:space="preserve">Einkommensteuer </t>
    </r>
    <r>
      <rPr>
        <sz val="8"/>
        <rFont val="Arial"/>
        <family val="2"/>
      </rPr>
      <t>(2008 bis 2005)</t>
    </r>
  </si>
  <si>
    <r>
      <t xml:space="preserve">Jahreseinkommen nach Est </t>
    </r>
    <r>
      <rPr>
        <sz val="8"/>
        <rFont val="Arial"/>
        <family val="2"/>
      </rPr>
      <t>(2009 ff)</t>
    </r>
  </si>
  <si>
    <r>
      <t>Einkommen</t>
    </r>
    <r>
      <rPr>
        <sz val="9"/>
        <rFont val="Arial"/>
        <family val="2"/>
      </rPr>
      <t xml:space="preserve"> - Steuer </t>
    </r>
    <r>
      <rPr>
        <sz val="8"/>
        <rFont val="Arial"/>
        <family val="2"/>
      </rPr>
      <t>(2009 ff)</t>
    </r>
  </si>
  <si>
    <t>Beispiel zum Überschreiben</t>
  </si>
  <si>
    <t>Kinderfreibetrag</t>
  </si>
  <si>
    <t>Pflichtversicherung (SVA) vorläufig d. J.</t>
  </si>
  <si>
    <t>Pflichtvers. (SVA) vorläufig</t>
  </si>
  <si>
    <r>
      <t xml:space="preserve">Einkommensteuer </t>
    </r>
    <r>
      <rPr>
        <sz val="8"/>
        <rFont val="Arial"/>
        <family val="2"/>
      </rPr>
      <t>(2010 ff)</t>
    </r>
  </si>
  <si>
    <r>
      <t xml:space="preserve">Einkommensteuer </t>
    </r>
    <r>
      <rPr>
        <sz val="8"/>
        <rFont val="Arial"/>
        <family val="2"/>
      </rPr>
      <t>(2009)</t>
    </r>
  </si>
  <si>
    <t>Ausgaben (cash flow) off SV vorläufig</t>
  </si>
  <si>
    <r>
      <t xml:space="preserve">Jahreseinkommen nach Est </t>
    </r>
    <r>
      <rPr>
        <sz val="8"/>
        <rFont val="Arial"/>
        <family val="2"/>
      </rPr>
      <t>(2010 ff)</t>
    </r>
  </si>
  <si>
    <r>
      <t>Einkommen</t>
    </r>
    <r>
      <rPr>
        <sz val="9"/>
        <rFont val="Arial"/>
        <family val="2"/>
      </rPr>
      <t xml:space="preserve"> - Steuer </t>
    </r>
    <r>
      <rPr>
        <sz val="8"/>
        <rFont val="Arial"/>
        <family val="2"/>
      </rPr>
      <t>(2010 ff)</t>
    </r>
  </si>
  <si>
    <r>
      <t xml:space="preserve">GFB, Grundfreibetrag </t>
    </r>
    <r>
      <rPr>
        <sz val="8"/>
        <rFont val="Arial"/>
        <family val="2"/>
      </rPr>
      <t>(ab 2010 ff)</t>
    </r>
  </si>
  <si>
    <t>GFB, investitionsbedingter Freibetrag</t>
  </si>
  <si>
    <t>SeVo .. Selbständigenvorsorge</t>
  </si>
  <si>
    <t>AV .. Arbeitslosenversicherung</t>
  </si>
  <si>
    <t>SeVo .. Selbständigenvorsorge (ab 2008)</t>
  </si>
  <si>
    <t>AV .. Arbeitslosenversicherung (ab 2009)</t>
  </si>
  <si>
    <r>
      <t>Einkommen</t>
    </r>
    <r>
      <rPr>
        <sz val="9"/>
        <rFont val="Arial"/>
        <family val="2"/>
      </rPr>
      <t xml:space="preserve"> - Steuer </t>
    </r>
    <r>
      <rPr>
        <sz val="8"/>
        <rFont val="Arial"/>
        <family val="2"/>
      </rPr>
      <t>(2016 ff)</t>
    </r>
  </si>
  <si>
    <r>
      <t xml:space="preserve">Einkommensteuer </t>
    </r>
    <r>
      <rPr>
        <sz val="8"/>
        <rFont val="Arial"/>
        <family val="2"/>
      </rPr>
      <t>(2016 ff)</t>
    </r>
  </si>
  <si>
    <r>
      <t xml:space="preserve">Jahreseinkommen nach Est </t>
    </r>
    <r>
      <rPr>
        <sz val="8"/>
        <rFont val="Arial"/>
        <family val="2"/>
      </rPr>
      <t>(2016 ff)</t>
    </r>
  </si>
  <si>
    <t>ESt-Tarif 2016</t>
  </si>
  <si>
    <t>Grenz% 2016</t>
  </si>
  <si>
    <t>Bandbreite</t>
  </si>
  <si>
    <t>Additiv</t>
  </si>
  <si>
    <t>%steigerung</t>
  </si>
  <si>
    <t>Man darf die Hoffnung nie aufgeben!</t>
  </si>
  <si>
    <r>
      <t>"</t>
    </r>
    <r>
      <rPr>
        <strike/>
        <sz val="8"/>
        <rFont val="Arial"/>
        <family val="2"/>
      </rPr>
      <t>Sicher</t>
    </r>
    <r>
      <rPr>
        <sz val="8"/>
        <rFont val="Arial"/>
        <family val="2"/>
      </rPr>
      <t xml:space="preserve"> Vielleicht kommt mal wer und fragt, …"???</t>
    </r>
  </si>
  <si>
    <t>&gt;</t>
  </si>
  <si>
    <t>Einkommen</t>
  </si>
  <si>
    <t>Steuer 2016</t>
  </si>
  <si>
    <t>Steuer 2015</t>
  </si>
  <si>
    <t>Vorteil 2016:2015</t>
  </si>
  <si>
    <r>
      <t xml:space="preserve">Die steuerbegünstigten 13.+14. Bezüge sind im "Einkommen" </t>
    </r>
    <r>
      <rPr>
        <i/>
        <sz val="9"/>
        <rFont val="Arial"/>
        <family val="2"/>
      </rPr>
      <t>nicht</t>
    </r>
    <r>
      <rPr>
        <sz val="9"/>
        <rFont val="Arial"/>
        <family val="2"/>
      </rPr>
      <t xml:space="preserve"> enthalten!</t>
    </r>
  </si>
  <si>
    <t>Gleiches gilt für die Gewinnfreibeträge.</t>
  </si>
  <si>
    <t>Anmerkung:</t>
  </si>
  <si>
    <t>ESt-Tariftabelle 2016</t>
  </si>
  <si>
    <t>Wer in dieser Einkommensteuer-Tariftabelle 2016 eine Systematik erkennen kann ist spitze!</t>
  </si>
  <si>
    <t>Effektiv% 2016</t>
  </si>
  <si>
    <t>ESt-Tariftabelle 2016 (AT)</t>
  </si>
  <si>
    <t>ESt-Tariftabelle 2016 ff</t>
  </si>
  <si>
    <t>Kinderfreibetrag (bis 2018)</t>
  </si>
  <si>
    <r>
      <t xml:space="preserve">Familienbonus Plus </t>
    </r>
    <r>
      <rPr>
        <sz val="8"/>
        <rFont val="Arial"/>
        <family val="2"/>
      </rPr>
      <t>(ab 2019)</t>
    </r>
  </si>
  <si>
    <r>
      <t>Kindermehrbetrag</t>
    </r>
    <r>
      <rPr>
        <sz val="8"/>
        <rFont val="Arial"/>
        <family val="2"/>
      </rPr>
      <t xml:space="preserve"> (ab 2019)</t>
    </r>
  </si>
  <si>
    <t>Infos zum Familienbonus und Kindermehrbetrag</t>
  </si>
  <si>
    <t>svs.at</t>
  </si>
  <si>
    <t>Infos zum Alleinverdiener- und Alleinerzieherabsetzbetrag inkl. Kinderzuschlag</t>
  </si>
  <si>
    <t>Infos zum Unterhaltsabsetzbetrag</t>
  </si>
  <si>
    <t>Infos zu Sonderausgaben</t>
  </si>
  <si>
    <t>Pflichtvers. (SV) vorläufig</t>
  </si>
  <si>
    <t>Pflichtversicherung (SVS) vorläufig d. J.</t>
  </si>
  <si>
    <t>Infos zu Außergewöhnliche Belastungen</t>
  </si>
  <si>
    <t>ESt-Tariftabelle 2020 (AT)</t>
  </si>
  <si>
    <t>ESt-Tarif 2020</t>
  </si>
  <si>
    <t>Grenz% 2020</t>
  </si>
  <si>
    <t>Steuer 2020</t>
  </si>
  <si>
    <t>Effektiv% 2020</t>
  </si>
  <si>
    <t>ESt-Tariftabelle 2020 ff</t>
  </si>
  <si>
    <r>
      <t>Einkommen</t>
    </r>
    <r>
      <rPr>
        <sz val="9"/>
        <rFont val="Arial"/>
        <family val="2"/>
      </rPr>
      <t xml:space="preserve"> - Steuer </t>
    </r>
    <r>
      <rPr>
        <sz val="8"/>
        <rFont val="Arial"/>
        <family val="2"/>
      </rPr>
      <t>(2020 ff)</t>
    </r>
  </si>
  <si>
    <r>
      <t xml:space="preserve">Jahreseinkommen nach Est </t>
    </r>
    <r>
      <rPr>
        <sz val="8"/>
        <rFont val="Arial"/>
        <family val="2"/>
      </rPr>
      <t>(2020 ff)</t>
    </r>
  </si>
  <si>
    <t>Vorteil 2020:2019</t>
  </si>
  <si>
    <t>Steuer 2019</t>
  </si>
  <si>
    <t>Wer in dieser Einkommensteuer-Tariftabelle 2020 eine Systematik erkennen kann ist spitze!</t>
  </si>
  <si>
    <t>bmf.gv.at</t>
  </si>
  <si>
    <t>ESt-Tarif 2022</t>
  </si>
  <si>
    <t>Grenz% 2022</t>
  </si>
  <si>
    <t>Vorteil 2022:2019</t>
  </si>
  <si>
    <t>Steuer 2022</t>
  </si>
  <si>
    <t>ESt-Tariftabelle 2022 (AT) "Regierungsvorlage"</t>
  </si>
  <si>
    <t>Effektiv% 2022</t>
  </si>
  <si>
    <t>ESt-Tariftabelle 2022 ff (Regierungsvorlage)</t>
  </si>
  <si>
    <r>
      <t xml:space="preserve">GFB, Grundfreibetrag </t>
    </r>
    <r>
      <rPr>
        <sz val="8"/>
        <rFont val="Arial"/>
        <family val="2"/>
      </rPr>
      <t>(ab 2010/2022 ff)</t>
    </r>
  </si>
  <si>
    <r>
      <t>Einkommen</t>
    </r>
    <r>
      <rPr>
        <sz val="9"/>
        <rFont val="Arial"/>
        <family val="2"/>
      </rPr>
      <t xml:space="preserve"> - Steuer </t>
    </r>
    <r>
      <rPr>
        <sz val="8"/>
        <rFont val="Arial"/>
        <family val="2"/>
      </rPr>
      <t>(2022)</t>
    </r>
  </si>
  <si>
    <r>
      <t xml:space="preserve">Jahreseinkommen nach Est </t>
    </r>
    <r>
      <rPr>
        <sz val="8"/>
        <rFont val="Arial"/>
        <family val="2"/>
      </rPr>
      <t>(2022)</t>
    </r>
  </si>
  <si>
    <r>
      <t xml:space="preserve">Einkommensteuer </t>
    </r>
    <r>
      <rPr>
        <sz val="8"/>
        <rFont val="Arial"/>
        <family val="2"/>
      </rPr>
      <t>(2022)</t>
    </r>
  </si>
  <si>
    <r>
      <t xml:space="preserve">Familienbonus Plus </t>
    </r>
    <r>
      <rPr>
        <sz val="8"/>
        <rFont val="Arial"/>
        <family val="2"/>
      </rPr>
      <t>(ab 2019/2022)</t>
    </r>
  </si>
  <si>
    <r>
      <t>Kindermehrbetrag</t>
    </r>
    <r>
      <rPr>
        <sz val="8"/>
        <rFont val="Arial"/>
        <family val="2"/>
      </rPr>
      <t xml:space="preserve"> (ab 2019/2022)</t>
    </r>
  </si>
  <si>
    <r>
      <t>Topf</t>
    </r>
    <r>
      <rPr>
        <sz val="8"/>
        <rFont val="Arial"/>
        <family val="2"/>
      </rPr>
      <t>-Sonderausgaben § 18 (1) Z 2-4 (bis 2020)</t>
    </r>
  </si>
  <si>
    <t xml:space="preserve">IFB, Investitionsfreibetrag (ab 2023) 10% </t>
  </si>
  <si>
    <t xml:space="preserve">IFB, Investitionsfreibetrag (ab 2023) 15% </t>
  </si>
  <si>
    <t>..(der geförderten Anlagenzugänge)</t>
  </si>
  <si>
    <t>..(der geförderten Öko-Anlagenzugänge)</t>
  </si>
  <si>
    <t>Zwischensumme Gewinn abzgl. IFBs</t>
  </si>
  <si>
    <t>Sonderausgaben</t>
  </si>
  <si>
    <t>Anzahl Kind/Kinder (1-3)</t>
  </si>
  <si>
    <t>Anzahl weitere Kinder</t>
  </si>
  <si>
    <r>
      <t>Einkommen</t>
    </r>
    <r>
      <rPr>
        <sz val="9"/>
        <rFont val="Arial"/>
        <family val="2"/>
      </rPr>
      <t xml:space="preserve"> - Steuer </t>
    </r>
    <r>
      <rPr>
        <sz val="8"/>
        <rFont val="Arial"/>
        <family val="2"/>
      </rPr>
      <t>(2023)</t>
    </r>
  </si>
  <si>
    <r>
      <t xml:space="preserve">Jahreseinkommen nach Est </t>
    </r>
    <r>
      <rPr>
        <sz val="8"/>
        <rFont val="Arial"/>
        <family val="2"/>
      </rPr>
      <t>(2023)</t>
    </r>
  </si>
  <si>
    <t>Familienbonus Plus</t>
  </si>
  <si>
    <r>
      <t>Kindermehrbetrag</t>
    </r>
    <r>
      <rPr>
        <sz val="8"/>
        <rFont val="Arial"/>
        <family val="2"/>
      </rPr>
      <t xml:space="preserve"> </t>
    </r>
  </si>
  <si>
    <r>
      <t xml:space="preserve">Einkommensteuer </t>
    </r>
    <r>
      <rPr>
        <sz val="8"/>
        <rFont val="Arial"/>
        <family val="2"/>
      </rPr>
      <t>(2023)</t>
    </r>
  </si>
  <si>
    <t>Grenz% 2023</t>
  </si>
  <si>
    <t>Steuer 2023</t>
  </si>
  <si>
    <t>ESt-Tarif 2023</t>
  </si>
  <si>
    <t>ESt-Tariftabelle 2023 (AT)</t>
  </si>
  <si>
    <t>Vorteil 2023:2022</t>
  </si>
  <si>
    <t>GFB, Grundfreibetrag</t>
  </si>
  <si>
    <t>ESt-Tariftabelle 2024 (AT)</t>
  </si>
  <si>
    <t>ESt-Tarif 2024</t>
  </si>
  <si>
    <t>Grenz% 2024</t>
  </si>
  <si>
    <t>Steuer 2024</t>
  </si>
  <si>
    <t>Vorteil 2024:2023</t>
  </si>
  <si>
    <t>Effektiv% 2024</t>
  </si>
  <si>
    <r>
      <t xml:space="preserve">Jahreseinkommen nach Est </t>
    </r>
    <r>
      <rPr>
        <sz val="8"/>
        <rFont val="Arial"/>
        <family val="2"/>
      </rPr>
      <t>(2024)</t>
    </r>
  </si>
  <si>
    <r>
      <t xml:space="preserve">Einkommensteuer </t>
    </r>
    <r>
      <rPr>
        <sz val="8"/>
        <rFont val="Arial"/>
        <family val="2"/>
      </rPr>
      <t>(2024)</t>
    </r>
  </si>
  <si>
    <r>
      <t>Einkommen</t>
    </r>
    <r>
      <rPr>
        <sz val="9"/>
        <rFont val="Arial"/>
        <family val="2"/>
      </rPr>
      <t xml:space="preserve"> - Steuer </t>
    </r>
    <r>
      <rPr>
        <sz val="8"/>
        <rFont val="Arial"/>
        <family val="2"/>
      </rPr>
      <t>(2024)</t>
    </r>
  </si>
  <si>
    <t>ESt-Tariftabelle 2025 (AT)</t>
  </si>
  <si>
    <t>ESt-Tarif 2025</t>
  </si>
  <si>
    <t>Grenz% 2025</t>
  </si>
  <si>
    <t>Steuer 2025</t>
  </si>
  <si>
    <t>Vorteil 2025:2024</t>
  </si>
  <si>
    <t>Effektiv% 2025</t>
  </si>
  <si>
    <r>
      <t>Einkommen</t>
    </r>
    <r>
      <rPr>
        <sz val="9"/>
        <rFont val="Arial"/>
        <family val="2"/>
      </rPr>
      <t xml:space="preserve"> - Steuer </t>
    </r>
    <r>
      <rPr>
        <sz val="8"/>
        <rFont val="Arial"/>
        <family val="2"/>
      </rPr>
      <t>(2025)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</si>
</sst>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€_-;\-* #,##0.00\ _€_-;_-* &quot;-&quot;??\ _€_-;_-@_-"/>
    <numFmt numFmtId="164" formatCode="_-* #,##0_-;\-* #,##0_-;_-* &quot;-&quot;_-;_-@_-"/>
    <numFmt numFmtId="165" formatCode="#,##0.00_ ;[Red]\-#,##0.00\ "/>
    <numFmt numFmtId="166" formatCode="#,##0.00_ ;\-#,##0.00\ "/>
    <numFmt numFmtId="167" formatCode="0.0%"/>
    <numFmt numFmtId="168" formatCode="#,##0\ &quot;Monate&quot;"/>
    <numFmt numFmtId="169" formatCode="#,##0_ ;[Red]\-#,##0\ "/>
  </numFmts>
  <fonts count="29">
    <font>
      <sz val="10"/>
      <name val="Arial"/>
    </font>
    <font>
      <sz val="9"/>
      <name val="Arial"/>
      <family val="2"/>
    </font>
    <font>
      <sz val="8"/>
      <name val="Arial"/>
      <family val="2"/>
    </font>
    <font>
      <sz val="9"/>
      <color indexed="62"/>
      <name val="Arial"/>
      <family val="2"/>
    </font>
    <font>
      <sz val="8"/>
      <color indexed="62"/>
      <name val="Arial"/>
      <family val="2"/>
    </font>
    <font>
      <sz val="8"/>
      <color indexed="9"/>
      <name val="Arial"/>
      <family val="2"/>
    </font>
    <font>
      <sz val="8"/>
      <color indexed="9"/>
      <name val="Verdana"/>
      <family val="2"/>
    </font>
    <font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10"/>
      <color indexed="81"/>
      <name val="Tahoma"/>
      <family val="2"/>
    </font>
    <font>
      <u/>
      <sz val="10"/>
      <color indexed="12"/>
      <name val="Arial"/>
      <family val="2"/>
    </font>
    <font>
      <u/>
      <sz val="8"/>
      <color indexed="9"/>
      <name val="Verdana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9"/>
      <name val="Arial"/>
      <family val="2"/>
    </font>
    <font>
      <sz val="8"/>
      <color theme="3" tint="0.39997558519241921"/>
      <name val="Arial"/>
      <family val="2"/>
    </font>
    <font>
      <b/>
      <sz val="8"/>
      <color theme="3" tint="0.39997558519241921"/>
      <name val="Arial"/>
      <family val="2"/>
    </font>
    <font>
      <sz val="8"/>
      <color theme="0"/>
      <name val="Arial"/>
      <family val="2"/>
    </font>
    <font>
      <sz val="8"/>
      <color theme="5" tint="-0.249977111117893"/>
      <name val="Arial"/>
      <family val="2"/>
    </font>
    <font>
      <strike/>
      <sz val="8"/>
      <name val="Arial"/>
      <family val="2"/>
    </font>
    <font>
      <b/>
      <sz val="8"/>
      <name val="Arial"/>
      <family val="2"/>
    </font>
    <font>
      <sz val="8"/>
      <color theme="2" tint="-0.499984740745262"/>
      <name val="Arial"/>
      <family val="2"/>
    </font>
    <font>
      <u/>
      <sz val="8"/>
      <color indexed="12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i/>
      <sz val="8"/>
      <name val="Arial"/>
      <family val="2"/>
    </font>
    <font>
      <sz val="9"/>
      <name val="Arial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14" fillId="0" borderId="0"/>
    <xf numFmtId="0" fontId="25" fillId="0" borderId="0"/>
    <xf numFmtId="0" fontId="28" fillId="0" borderId="0"/>
  </cellStyleXfs>
  <cellXfs count="329">
    <xf numFmtId="0" fontId="0" fillId="0" borderId="0" xfId="0"/>
    <xf numFmtId="49" fontId="1" fillId="2" borderId="1" xfId="0" applyNumberFormat="1" applyFont="1" applyFill="1" applyBorder="1" applyAlignment="1"/>
    <xf numFmtId="20" fontId="1" fillId="2" borderId="1" xfId="0" applyNumberFormat="1" applyFont="1" applyFill="1" applyBorder="1" applyAlignment="1">
      <alignment horizontal="center"/>
    </xf>
    <xf numFmtId="0" fontId="1" fillId="0" borderId="0" xfId="0" applyFont="1"/>
    <xf numFmtId="49" fontId="1" fillId="0" borderId="0" xfId="0" applyNumberFormat="1" applyFont="1"/>
    <xf numFmtId="4" fontId="1" fillId="0" borderId="0" xfId="0" applyNumberFormat="1" applyFont="1"/>
    <xf numFmtId="166" fontId="2" fillId="0" borderId="0" xfId="0" applyNumberFormat="1" applyFont="1"/>
    <xf numFmtId="4" fontId="2" fillId="0" borderId="0" xfId="0" applyNumberFormat="1" applyFont="1"/>
    <xf numFmtId="49" fontId="1" fillId="0" borderId="2" xfId="0" applyNumberFormat="1" applyFont="1" applyBorder="1"/>
    <xf numFmtId="4" fontId="1" fillId="0" borderId="2" xfId="0" applyNumberFormat="1" applyFont="1" applyBorder="1"/>
    <xf numFmtId="49" fontId="1" fillId="3" borderId="0" xfId="0" applyNumberFormat="1" applyFont="1" applyFill="1"/>
    <xf numFmtId="4" fontId="1" fillId="3" borderId="0" xfId="0" applyNumberFormat="1" applyFont="1" applyFill="1"/>
    <xf numFmtId="4" fontId="2" fillId="3" borderId="0" xfId="0" applyNumberFormat="1" applyFont="1" applyFill="1"/>
    <xf numFmtId="0" fontId="1" fillId="3" borderId="0" xfId="0" applyFont="1" applyFill="1"/>
    <xf numFmtId="0" fontId="1" fillId="0" borderId="0" xfId="0" applyFont="1" applyFill="1"/>
    <xf numFmtId="166" fontId="1" fillId="0" borderId="0" xfId="0" applyNumberFormat="1" applyFont="1"/>
    <xf numFmtId="0" fontId="1" fillId="0" borderId="0" xfId="0" applyFont="1" applyBorder="1"/>
    <xf numFmtId="165" fontId="1" fillId="0" borderId="0" xfId="0" applyNumberFormat="1" applyFont="1" applyFill="1"/>
    <xf numFmtId="165" fontId="1" fillId="0" borderId="0" xfId="0" applyNumberFormat="1" applyFont="1"/>
    <xf numFmtId="0" fontId="1" fillId="0" borderId="0" xfId="0" applyFont="1" applyBorder="1" applyProtection="1">
      <protection hidden="1"/>
    </xf>
    <xf numFmtId="0" fontId="1" fillId="0" borderId="0" xfId="0" applyFont="1" applyProtection="1">
      <protection hidden="1"/>
    </xf>
    <xf numFmtId="166" fontId="1" fillId="0" borderId="0" xfId="0" applyNumberFormat="1" applyFont="1" applyBorder="1" applyProtection="1">
      <protection hidden="1"/>
    </xf>
    <xf numFmtId="0" fontId="1" fillId="0" borderId="3" xfId="0" applyFont="1" applyBorder="1" applyProtection="1">
      <protection hidden="1"/>
    </xf>
    <xf numFmtId="165" fontId="1" fillId="0" borderId="0" xfId="0" applyNumberFormat="1" applyFont="1" applyBorder="1" applyProtection="1">
      <protection hidden="1"/>
    </xf>
    <xf numFmtId="166" fontId="1" fillId="0" borderId="3" xfId="0" applyNumberFormat="1" applyFont="1" applyBorder="1" applyProtection="1">
      <protection hidden="1"/>
    </xf>
    <xf numFmtId="0" fontId="1" fillId="0" borderId="0" xfId="0" applyFont="1" applyFill="1" applyBorder="1" applyProtection="1">
      <protection hidden="1"/>
    </xf>
    <xf numFmtId="0" fontId="1" fillId="3" borderId="0" xfId="0" applyFont="1" applyFill="1" applyBorder="1" applyProtection="1">
      <protection hidden="1"/>
    </xf>
    <xf numFmtId="165" fontId="1" fillId="3" borderId="0" xfId="0" applyNumberFormat="1" applyFont="1" applyFill="1" applyBorder="1" applyProtection="1">
      <protection hidden="1"/>
    </xf>
    <xf numFmtId="165" fontId="1" fillId="0" borderId="2" xfId="0" applyNumberFormat="1" applyFont="1" applyBorder="1"/>
    <xf numFmtId="49" fontId="1" fillId="0" borderId="4" xfId="0" applyNumberFormat="1" applyFont="1" applyBorder="1"/>
    <xf numFmtId="165" fontId="2" fillId="0" borderId="0" xfId="0" applyNumberFormat="1" applyFont="1" applyBorder="1"/>
    <xf numFmtId="4" fontId="4" fillId="0" borderId="5" xfId="0" applyNumberFormat="1" applyFont="1" applyFill="1" applyBorder="1"/>
    <xf numFmtId="0" fontId="1" fillId="0" borderId="5" xfId="0" applyFont="1" applyBorder="1"/>
    <xf numFmtId="165" fontId="2" fillId="0" borderId="5" xfId="0" applyNumberFormat="1" applyFont="1" applyBorder="1"/>
    <xf numFmtId="166" fontId="2" fillId="2" borderId="6" xfId="0" applyNumberFormat="1" applyFont="1" applyFill="1" applyBorder="1" applyAlignment="1">
      <alignment horizontal="center"/>
    </xf>
    <xf numFmtId="166" fontId="2" fillId="2" borderId="5" xfId="0" applyNumberFormat="1" applyFont="1" applyFill="1" applyBorder="1" applyAlignment="1">
      <alignment horizontal="center"/>
    </xf>
    <xf numFmtId="4" fontId="2" fillId="0" borderId="2" xfId="0" applyNumberFormat="1" applyFont="1" applyFill="1" applyBorder="1"/>
    <xf numFmtId="0" fontId="1" fillId="0" borderId="2" xfId="0" applyFont="1" applyBorder="1"/>
    <xf numFmtId="167" fontId="1" fillId="0" borderId="2" xfId="0" applyNumberFormat="1" applyFont="1" applyBorder="1"/>
    <xf numFmtId="0" fontId="1" fillId="3" borderId="0" xfId="0" applyFont="1" applyFill="1" applyProtection="1">
      <protection hidden="1"/>
    </xf>
    <xf numFmtId="166" fontId="1" fillId="0" borderId="2" xfId="0" applyNumberFormat="1" applyFont="1" applyFill="1" applyBorder="1"/>
    <xf numFmtId="4" fontId="1" fillId="0" borderId="0" xfId="0" applyNumberFormat="1" applyFont="1" applyFill="1" applyProtection="1">
      <protection locked="0"/>
    </xf>
    <xf numFmtId="166" fontId="1" fillId="0" borderId="0" xfId="0" applyNumberFormat="1" applyFont="1" applyProtection="1">
      <protection locked="0"/>
    </xf>
    <xf numFmtId="4" fontId="4" fillId="4" borderId="7" xfId="0" applyNumberFormat="1" applyFont="1" applyFill="1" applyBorder="1" applyProtection="1">
      <protection locked="0"/>
    </xf>
    <xf numFmtId="4" fontId="4" fillId="4" borderId="0" xfId="0" applyNumberFormat="1" applyFont="1" applyFill="1" applyBorder="1" applyProtection="1">
      <protection locked="0"/>
    </xf>
    <xf numFmtId="165" fontId="1" fillId="4" borderId="0" xfId="0" applyNumberFormat="1" applyFont="1" applyFill="1" applyBorder="1" applyProtection="1">
      <protection locked="0"/>
    </xf>
    <xf numFmtId="165" fontId="1" fillId="4" borderId="3" xfId="0" applyNumberFormat="1" applyFont="1" applyFill="1" applyBorder="1" applyProtection="1">
      <protection locked="0"/>
    </xf>
    <xf numFmtId="165" fontId="1" fillId="0" borderId="5" xfId="0" applyNumberFormat="1" applyFont="1" applyBorder="1" applyProtection="1"/>
    <xf numFmtId="167" fontId="2" fillId="0" borderId="5" xfId="0" applyNumberFormat="1" applyFont="1" applyBorder="1" applyProtection="1"/>
    <xf numFmtId="167" fontId="2" fillId="0" borderId="0" xfId="0" applyNumberFormat="1" applyFont="1" applyProtection="1"/>
    <xf numFmtId="166" fontId="1" fillId="0" borderId="0" xfId="0" applyNumberFormat="1" applyFont="1" applyProtection="1"/>
    <xf numFmtId="167" fontId="2" fillId="0" borderId="7" xfId="0" applyNumberFormat="1" applyFont="1" applyBorder="1" applyProtection="1"/>
    <xf numFmtId="4" fontId="4" fillId="0" borderId="0" xfId="0" applyNumberFormat="1" applyFont="1" applyBorder="1" applyProtection="1">
      <protection hidden="1"/>
    </xf>
    <xf numFmtId="165" fontId="1" fillId="0" borderId="0" xfId="0" applyNumberFormat="1" applyFont="1" applyProtection="1"/>
    <xf numFmtId="165" fontId="1" fillId="0" borderId="0" xfId="0" applyNumberFormat="1" applyFont="1" applyFill="1" applyProtection="1"/>
    <xf numFmtId="165" fontId="1" fillId="0" borderId="2" xfId="0" applyNumberFormat="1" applyFont="1" applyBorder="1" applyProtection="1"/>
    <xf numFmtId="165" fontId="1" fillId="0" borderId="4" xfId="0" applyNumberFormat="1" applyFont="1" applyBorder="1" applyProtection="1"/>
    <xf numFmtId="167" fontId="2" fillId="0" borderId="0" xfId="0" applyNumberFormat="1" applyFont="1" applyFill="1" applyBorder="1" applyProtection="1"/>
    <xf numFmtId="167" fontId="2" fillId="0" borderId="2" xfId="0" applyNumberFormat="1" applyFont="1" applyFill="1" applyBorder="1" applyProtection="1"/>
    <xf numFmtId="20" fontId="1" fillId="4" borderId="1" xfId="0" applyNumberFormat="1" applyFont="1" applyFill="1" applyBorder="1" applyAlignment="1">
      <alignment horizontal="center"/>
    </xf>
    <xf numFmtId="0" fontId="1" fillId="0" borderId="0" xfId="0" applyFont="1" applyProtection="1">
      <protection locked="0"/>
    </xf>
    <xf numFmtId="4" fontId="2" fillId="0" borderId="0" xfId="0" applyNumberFormat="1" applyFont="1" applyFill="1" applyProtection="1">
      <protection locked="0"/>
    </xf>
    <xf numFmtId="166" fontId="2" fillId="4" borderId="5" xfId="0" applyNumberFormat="1" applyFont="1" applyFill="1" applyBorder="1" applyAlignment="1">
      <alignment horizontal="center"/>
    </xf>
    <xf numFmtId="0" fontId="1" fillId="0" borderId="0" xfId="0" applyFont="1" applyProtection="1"/>
    <xf numFmtId="0" fontId="1" fillId="0" borderId="0" xfId="0" applyFont="1" applyBorder="1" applyProtection="1"/>
    <xf numFmtId="49" fontId="1" fillId="0" borderId="2" xfId="0" applyNumberFormat="1" applyFont="1" applyFill="1" applyBorder="1" applyProtection="1"/>
    <xf numFmtId="166" fontId="2" fillId="2" borderId="1" xfId="0" applyNumberFormat="1" applyFont="1" applyFill="1" applyBorder="1" applyAlignment="1">
      <alignment horizontal="center"/>
    </xf>
    <xf numFmtId="167" fontId="2" fillId="0" borderId="2" xfId="0" applyNumberFormat="1" applyFont="1" applyBorder="1" applyProtection="1">
      <protection hidden="1"/>
    </xf>
    <xf numFmtId="167" fontId="2" fillId="0" borderId="0" xfId="0" applyNumberFormat="1" applyFont="1" applyProtection="1">
      <protection hidden="1"/>
    </xf>
    <xf numFmtId="10" fontId="4" fillId="4" borderId="0" xfId="0" applyNumberFormat="1" applyFont="1" applyFill="1" applyBorder="1" applyProtection="1">
      <protection locked="0"/>
    </xf>
    <xf numFmtId="0" fontId="8" fillId="0" borderId="0" xfId="0" applyFont="1" applyProtection="1">
      <protection hidden="1"/>
    </xf>
    <xf numFmtId="166" fontId="5" fillId="5" borderId="5" xfId="0" applyNumberFormat="1" applyFont="1" applyFill="1" applyBorder="1" applyAlignment="1" applyProtection="1">
      <alignment horizontal="center" vertical="center"/>
      <protection hidden="1"/>
    </xf>
    <xf numFmtId="0" fontId="7" fillId="0" borderId="0" xfId="0" applyNumberFormat="1" applyFont="1" applyFill="1" applyAlignment="1" applyProtection="1">
      <alignment horizontal="center"/>
      <protection hidden="1"/>
    </xf>
    <xf numFmtId="0" fontId="9" fillId="0" borderId="0" xfId="0" applyFont="1" applyBorder="1" applyProtection="1">
      <protection hidden="1"/>
    </xf>
    <xf numFmtId="165" fontId="1" fillId="0" borderId="0" xfId="0" applyNumberFormat="1" applyFont="1" applyFill="1" applyBorder="1" applyProtection="1">
      <protection hidden="1"/>
    </xf>
    <xf numFmtId="166" fontId="1" fillId="4" borderId="0" xfId="0" applyNumberFormat="1" applyFont="1" applyFill="1" applyBorder="1" applyAlignment="1" applyProtection="1">
      <alignment horizontal="center"/>
      <protection locked="0"/>
    </xf>
    <xf numFmtId="166" fontId="4" fillId="0" borderId="0" xfId="0" applyNumberFormat="1" applyFont="1" applyFill="1" applyBorder="1" applyAlignment="1" applyProtection="1">
      <alignment horizontal="center"/>
      <protection hidden="1"/>
    </xf>
    <xf numFmtId="0" fontId="7" fillId="0" borderId="0" xfId="0" applyNumberFormat="1" applyFont="1" applyFill="1" applyAlignment="1" applyProtection="1">
      <alignment horizontal="center"/>
      <protection locked="0" hidden="1"/>
    </xf>
    <xf numFmtId="166" fontId="2" fillId="3" borderId="0" xfId="0" applyNumberFormat="1" applyFont="1" applyFill="1" applyBorder="1" applyProtection="1">
      <protection hidden="1"/>
    </xf>
    <xf numFmtId="0" fontId="1" fillId="0" borderId="7" xfId="0" applyFont="1" applyBorder="1" applyProtection="1">
      <protection hidden="1"/>
    </xf>
    <xf numFmtId="165" fontId="1" fillId="0" borderId="7" xfId="0" applyNumberFormat="1" applyFont="1" applyFill="1" applyBorder="1" applyProtection="1">
      <protection hidden="1"/>
    </xf>
    <xf numFmtId="0" fontId="1" fillId="0" borderId="7" xfId="0" applyFont="1" applyBorder="1"/>
    <xf numFmtId="166" fontId="2" fillId="0" borderId="7" xfId="0" applyNumberFormat="1" applyFont="1" applyBorder="1" applyProtection="1">
      <protection hidden="1"/>
    </xf>
    <xf numFmtId="9" fontId="4" fillId="0" borderId="7" xfId="0" applyNumberFormat="1" applyFont="1" applyBorder="1" applyAlignment="1" applyProtection="1">
      <alignment horizontal="center"/>
      <protection hidden="1"/>
    </xf>
    <xf numFmtId="0" fontId="1" fillId="0" borderId="0" xfId="0" applyNumberFormat="1" applyFont="1" applyBorder="1" applyProtection="1">
      <protection hidden="1"/>
    </xf>
    <xf numFmtId="166" fontId="2" fillId="3" borderId="3" xfId="0" applyNumberFormat="1" applyFont="1" applyFill="1" applyBorder="1" applyProtection="1">
      <protection hidden="1"/>
    </xf>
    <xf numFmtId="9" fontId="2" fillId="0" borderId="0" xfId="0" applyNumberFormat="1" applyFont="1" applyFill="1" applyBorder="1" applyProtection="1">
      <protection hidden="1"/>
    </xf>
    <xf numFmtId="167" fontId="2" fillId="0" borderId="0" xfId="0" applyNumberFormat="1" applyFont="1" applyBorder="1" applyProtection="1">
      <protection hidden="1"/>
    </xf>
    <xf numFmtId="164" fontId="2" fillId="0" borderId="0" xfId="0" applyNumberFormat="1" applyFont="1" applyBorder="1" applyAlignment="1" applyProtection="1">
      <protection hidden="1"/>
    </xf>
    <xf numFmtId="166" fontId="1" fillId="0" borderId="0" xfId="0" applyNumberFormat="1" applyFont="1" applyProtection="1">
      <protection hidden="1"/>
    </xf>
    <xf numFmtId="165" fontId="1" fillId="4" borderId="0" xfId="0" applyNumberFormat="1" applyFont="1" applyFill="1" applyBorder="1" applyProtection="1">
      <protection locked="0" hidden="1"/>
    </xf>
    <xf numFmtId="167" fontId="2" fillId="0" borderId="7" xfId="0" applyNumberFormat="1" applyFont="1" applyBorder="1" applyProtection="1">
      <protection hidden="1"/>
    </xf>
    <xf numFmtId="164" fontId="2" fillId="0" borderId="0" xfId="0" applyNumberFormat="1" applyFont="1" applyFill="1" applyBorder="1" applyAlignment="1" applyProtection="1">
      <protection hidden="1"/>
    </xf>
    <xf numFmtId="0" fontId="1" fillId="0" borderId="7" xfId="0" applyFont="1" applyFill="1" applyBorder="1" applyProtection="1">
      <protection hidden="1"/>
    </xf>
    <xf numFmtId="0" fontId="1" fillId="0" borderId="8" xfId="0" applyFont="1" applyFill="1" applyBorder="1" applyProtection="1">
      <protection hidden="1"/>
    </xf>
    <xf numFmtId="0" fontId="1" fillId="0" borderId="2" xfId="0" applyFont="1" applyFill="1" applyBorder="1" applyProtection="1">
      <protection hidden="1"/>
    </xf>
    <xf numFmtId="165" fontId="1" fillId="0" borderId="2" xfId="0" applyNumberFormat="1" applyFont="1" applyFill="1" applyBorder="1" applyProtection="1">
      <protection hidden="1"/>
    </xf>
    <xf numFmtId="165" fontId="1" fillId="0" borderId="4" xfId="0" applyNumberFormat="1" applyFont="1" applyBorder="1"/>
    <xf numFmtId="167" fontId="2" fillId="0" borderId="4" xfId="0" applyNumberFormat="1" applyFont="1" applyFill="1" applyBorder="1"/>
    <xf numFmtId="0" fontId="1" fillId="0" borderId="4" xfId="0" applyFont="1" applyBorder="1"/>
    <xf numFmtId="168" fontId="7" fillId="0" borderId="0" xfId="0" applyNumberFormat="1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168" fontId="7" fillId="0" borderId="0" xfId="0" applyNumberFormat="1" applyFont="1" applyAlignment="1" applyProtection="1">
      <alignment horizontal="center"/>
      <protection locked="0" hidden="1"/>
    </xf>
    <xf numFmtId="0" fontId="7" fillId="0" borderId="0" xfId="0" applyFont="1" applyProtection="1">
      <protection hidden="1"/>
    </xf>
    <xf numFmtId="166" fontId="12" fillId="2" borderId="5" xfId="1" applyNumberFormat="1" applyFont="1" applyFill="1" applyBorder="1" applyAlignment="1" applyProtection="1">
      <alignment horizontal="center"/>
    </xf>
    <xf numFmtId="165" fontId="1" fillId="0" borderId="0" xfId="0" applyNumberFormat="1" applyFont="1" applyProtection="1">
      <protection hidden="1"/>
    </xf>
    <xf numFmtId="0" fontId="1" fillId="0" borderId="2" xfId="0" applyFont="1" applyBorder="1" applyProtection="1">
      <protection hidden="1"/>
    </xf>
    <xf numFmtId="165" fontId="1" fillId="0" borderId="2" xfId="0" applyNumberFormat="1" applyFont="1" applyBorder="1" applyProtection="1">
      <protection hidden="1"/>
    </xf>
    <xf numFmtId="0" fontId="14" fillId="2" borderId="6" xfId="0" applyFont="1" applyFill="1" applyBorder="1" applyAlignment="1" applyProtection="1">
      <alignment vertical="center"/>
      <protection hidden="1"/>
    </xf>
    <xf numFmtId="4" fontId="2" fillId="0" borderId="2" xfId="0" applyNumberFormat="1" applyFont="1" applyBorder="1"/>
    <xf numFmtId="49" fontId="1" fillId="0" borderId="3" xfId="0" applyNumberFormat="1" applyFont="1" applyBorder="1"/>
    <xf numFmtId="4" fontId="1" fillId="0" borderId="3" xfId="0" applyNumberFormat="1" applyFont="1" applyBorder="1"/>
    <xf numFmtId="165" fontId="1" fillId="0" borderId="3" xfId="0" applyNumberFormat="1" applyFont="1" applyBorder="1"/>
    <xf numFmtId="165" fontId="1" fillId="4" borderId="0" xfId="0" applyNumberFormat="1" applyFont="1" applyFill="1" applyProtection="1">
      <protection locked="0"/>
    </xf>
    <xf numFmtId="4" fontId="2" fillId="0" borderId="3" xfId="0" applyNumberFormat="1" applyFont="1" applyBorder="1"/>
    <xf numFmtId="0" fontId="11" fillId="0" borderId="0" xfId="1" applyFont="1" applyAlignment="1" applyProtection="1">
      <alignment horizontal="center"/>
    </xf>
    <xf numFmtId="0" fontId="5" fillId="5" borderId="5" xfId="0" applyFont="1" applyFill="1" applyBorder="1" applyAlignment="1">
      <alignment horizontal="center"/>
    </xf>
    <xf numFmtId="0" fontId="3" fillId="0" borderId="0" xfId="0" applyFont="1" applyProtection="1">
      <protection hidden="1"/>
    </xf>
    <xf numFmtId="0" fontId="3" fillId="0" borderId="0" xfId="0" applyFont="1" applyBorder="1" applyProtection="1">
      <protection hidden="1"/>
    </xf>
    <xf numFmtId="4" fontId="4" fillId="4" borderId="9" xfId="0" applyNumberFormat="1" applyFont="1" applyFill="1" applyBorder="1" applyProtection="1">
      <protection locked="0"/>
    </xf>
    <xf numFmtId="166" fontId="2" fillId="0" borderId="0" xfId="0" applyNumberFormat="1" applyFont="1" applyFill="1" applyBorder="1" applyProtection="1">
      <protection hidden="1"/>
    </xf>
    <xf numFmtId="166" fontId="2" fillId="0" borderId="3" xfId="0" applyNumberFormat="1" applyFont="1" applyFill="1" applyBorder="1" applyProtection="1">
      <protection hidden="1"/>
    </xf>
    <xf numFmtId="167" fontId="2" fillId="0" borderId="2" xfId="0" applyNumberFormat="1" applyFont="1" applyBorder="1" applyProtection="1"/>
    <xf numFmtId="0" fontId="2" fillId="0" borderId="0" xfId="0" applyFont="1" applyProtection="1">
      <protection hidden="1"/>
    </xf>
    <xf numFmtId="166" fontId="2" fillId="0" borderId="0" xfId="0" applyNumberFormat="1" applyFont="1" applyProtection="1">
      <protection hidden="1"/>
    </xf>
    <xf numFmtId="0" fontId="4" fillId="0" borderId="0" xfId="0" applyFont="1" applyFill="1" applyBorder="1"/>
    <xf numFmtId="165" fontId="1" fillId="0" borderId="0" xfId="0" applyNumberFormat="1" applyFont="1" applyProtection="1">
      <protection locked="0" hidden="1"/>
    </xf>
    <xf numFmtId="0" fontId="11" fillId="0" borderId="0" xfId="1" applyAlignment="1" applyProtection="1">
      <alignment horizontal="center"/>
    </xf>
    <xf numFmtId="4" fontId="4" fillId="4" borderId="0" xfId="2" applyNumberFormat="1" applyFont="1" applyFill="1" applyBorder="1" applyProtection="1">
      <protection locked="0"/>
    </xf>
    <xf numFmtId="4" fontId="4" fillId="4" borderId="9" xfId="2" applyNumberFormat="1" applyFont="1" applyFill="1" applyBorder="1" applyProtection="1">
      <protection locked="0"/>
    </xf>
    <xf numFmtId="0" fontId="4" fillId="0" borderId="0" xfId="0" applyFont="1" applyFill="1" applyBorder="1" applyProtection="1">
      <protection hidden="1"/>
    </xf>
    <xf numFmtId="165" fontId="17" fillId="0" borderId="0" xfId="0" applyNumberFormat="1" applyFont="1" applyFill="1" applyBorder="1" applyProtection="1">
      <protection hidden="1"/>
    </xf>
    <xf numFmtId="9" fontId="17" fillId="0" borderId="0" xfId="0" applyNumberFormat="1" applyFont="1" applyFill="1" applyBorder="1" applyProtection="1">
      <protection hidden="1"/>
    </xf>
    <xf numFmtId="0" fontId="18" fillId="0" borderId="0" xfId="0" applyFont="1" applyProtection="1">
      <protection hidden="1"/>
    </xf>
    <xf numFmtId="43" fontId="17" fillId="0" borderId="0" xfId="0" applyNumberFormat="1" applyFont="1" applyFill="1" applyBorder="1" applyProtection="1">
      <protection hidden="1"/>
    </xf>
    <xf numFmtId="43" fontId="20" fillId="0" borderId="0" xfId="0" applyNumberFormat="1" applyFont="1" applyFill="1" applyBorder="1" applyProtection="1">
      <protection hidden="1"/>
    </xf>
    <xf numFmtId="49" fontId="6" fillId="6" borderId="5" xfId="3" applyNumberFormat="1" applyFont="1" applyFill="1" applyBorder="1" applyAlignment="1" applyProtection="1">
      <alignment horizontal="center" vertical="center"/>
      <protection hidden="1"/>
    </xf>
    <xf numFmtId="0" fontId="11" fillId="0" borderId="0" xfId="1" applyAlignment="1" applyProtection="1">
      <alignment horizontal="center"/>
      <protection hidden="1"/>
    </xf>
    <xf numFmtId="0" fontId="1" fillId="0" borderId="0" xfId="3" applyFont="1" applyProtection="1">
      <protection hidden="1"/>
    </xf>
    <xf numFmtId="165" fontId="8" fillId="0" borderId="0" xfId="3" applyNumberFormat="1" applyFont="1" applyBorder="1" applyAlignment="1" applyProtection="1">
      <alignment horizontal="center"/>
      <protection hidden="1"/>
    </xf>
    <xf numFmtId="165" fontId="1" fillId="0" borderId="0" xfId="3" applyNumberFormat="1" applyFont="1" applyBorder="1" applyAlignment="1" applyProtection="1">
      <alignment horizontal="center"/>
      <protection hidden="1"/>
    </xf>
    <xf numFmtId="0" fontId="1" fillId="0" borderId="0" xfId="3" applyFont="1" applyAlignment="1" applyProtection="1">
      <alignment horizontal="center"/>
      <protection hidden="1"/>
    </xf>
    <xf numFmtId="0" fontId="2" fillId="0" borderId="0" xfId="3" applyFont="1" applyProtection="1">
      <protection hidden="1"/>
    </xf>
    <xf numFmtId="165" fontId="1" fillId="0" borderId="0" xfId="3" applyNumberFormat="1" applyFont="1" applyBorder="1" applyProtection="1">
      <protection hidden="1"/>
    </xf>
    <xf numFmtId="165" fontId="2" fillId="0" borderId="0" xfId="3" applyNumberFormat="1" applyFont="1" applyFill="1" applyBorder="1" applyProtection="1">
      <protection hidden="1"/>
    </xf>
    <xf numFmtId="9" fontId="2" fillId="0" borderId="0" xfId="3" applyNumberFormat="1" applyFont="1" applyFill="1" applyBorder="1" applyProtection="1">
      <protection hidden="1"/>
    </xf>
    <xf numFmtId="166" fontId="2" fillId="0" borderId="0" xfId="3" applyNumberFormat="1" applyFont="1" applyBorder="1" applyProtection="1">
      <protection hidden="1"/>
    </xf>
    <xf numFmtId="165" fontId="2" fillId="0" borderId="0" xfId="3" applyNumberFormat="1" applyFont="1" applyBorder="1" applyProtection="1">
      <protection hidden="1"/>
    </xf>
    <xf numFmtId="0" fontId="22" fillId="0" borderId="0" xfId="3" applyFont="1" applyAlignment="1" applyProtection="1">
      <alignment horizontal="center"/>
      <protection hidden="1"/>
    </xf>
    <xf numFmtId="43" fontId="17" fillId="0" borderId="0" xfId="3" applyNumberFormat="1" applyFont="1" applyFill="1" applyBorder="1" applyProtection="1">
      <protection hidden="1"/>
    </xf>
    <xf numFmtId="43" fontId="20" fillId="0" borderId="0" xfId="3" applyNumberFormat="1" applyFont="1" applyFill="1" applyBorder="1" applyProtection="1">
      <protection hidden="1"/>
    </xf>
    <xf numFmtId="0" fontId="22" fillId="0" borderId="0" xfId="3" applyFont="1" applyProtection="1">
      <protection hidden="1"/>
    </xf>
    <xf numFmtId="49" fontId="1" fillId="0" borderId="5" xfId="3" applyNumberFormat="1" applyFont="1" applyBorder="1" applyAlignment="1" applyProtection="1">
      <alignment horizontal="center"/>
      <protection hidden="1"/>
    </xf>
    <xf numFmtId="4" fontId="1" fillId="0" borderId="5" xfId="3" applyNumberFormat="1" applyFont="1" applyBorder="1" applyAlignment="1" applyProtection="1">
      <alignment horizontal="center"/>
      <protection hidden="1"/>
    </xf>
    <xf numFmtId="166" fontId="23" fillId="0" borderId="5" xfId="3" applyNumberFormat="1" applyFont="1" applyBorder="1" applyAlignment="1" applyProtection="1">
      <alignment horizontal="center"/>
      <protection hidden="1"/>
    </xf>
    <xf numFmtId="0" fontId="1" fillId="0" borderId="5" xfId="3" applyFont="1" applyBorder="1" applyProtection="1">
      <protection hidden="1"/>
    </xf>
    <xf numFmtId="165" fontId="8" fillId="7" borderId="5" xfId="3" applyNumberFormat="1" applyFont="1" applyFill="1" applyBorder="1" applyAlignment="1" applyProtection="1">
      <alignment vertical="center"/>
      <protection locked="0"/>
    </xf>
    <xf numFmtId="9" fontId="2" fillId="0" borderId="5" xfId="3" applyNumberFormat="1" applyFont="1" applyBorder="1" applyAlignment="1" applyProtection="1">
      <alignment vertical="center"/>
      <protection hidden="1"/>
    </xf>
    <xf numFmtId="165" fontId="2" fillId="0" borderId="5" xfId="3" applyNumberFormat="1" applyFont="1" applyBorder="1" applyAlignment="1" applyProtection="1">
      <alignment vertical="center"/>
      <protection hidden="1"/>
    </xf>
    <xf numFmtId="166" fontId="23" fillId="0" borderId="5" xfId="3" applyNumberFormat="1" applyFont="1" applyBorder="1" applyAlignment="1" applyProtection="1">
      <alignment vertical="center"/>
      <protection hidden="1"/>
    </xf>
    <xf numFmtId="165" fontId="22" fillId="0" borderId="5" xfId="3" applyNumberFormat="1" applyFont="1" applyBorder="1" applyAlignment="1" applyProtection="1">
      <alignment vertical="center"/>
      <protection hidden="1"/>
    </xf>
    <xf numFmtId="0" fontId="1" fillId="0" borderId="0" xfId="3" applyFont="1" applyAlignment="1" applyProtection="1">
      <alignment horizontal="right"/>
      <protection hidden="1"/>
    </xf>
    <xf numFmtId="165" fontId="1" fillId="0" borderId="0" xfId="3" applyNumberFormat="1" applyFont="1" applyProtection="1">
      <protection hidden="1"/>
    </xf>
    <xf numFmtId="9" fontId="2" fillId="0" borderId="0" xfId="3" applyNumberFormat="1" applyFont="1" applyBorder="1" applyProtection="1">
      <protection hidden="1"/>
    </xf>
    <xf numFmtId="166" fontId="23" fillId="0" borderId="0" xfId="3" applyNumberFormat="1" applyFont="1" applyBorder="1" applyProtection="1">
      <protection hidden="1"/>
    </xf>
    <xf numFmtId="166" fontId="23" fillId="0" borderId="0" xfId="3" applyNumberFormat="1" applyFont="1" applyProtection="1">
      <protection hidden="1"/>
    </xf>
    <xf numFmtId="4" fontId="19" fillId="0" borderId="0" xfId="3" applyNumberFormat="1" applyFont="1" applyBorder="1" applyProtection="1">
      <protection hidden="1"/>
    </xf>
    <xf numFmtId="4" fontId="2" fillId="0" borderId="0" xfId="3" applyNumberFormat="1" applyFont="1" applyProtection="1">
      <protection hidden="1"/>
    </xf>
    <xf numFmtId="49" fontId="1" fillId="0" borderId="0" xfId="3" applyNumberFormat="1" applyFont="1" applyProtection="1">
      <protection hidden="1"/>
    </xf>
    <xf numFmtId="4" fontId="1" fillId="0" borderId="0" xfId="3" applyNumberFormat="1" applyFont="1" applyProtection="1">
      <protection hidden="1"/>
    </xf>
    <xf numFmtId="0" fontId="19" fillId="0" borderId="0" xfId="0" applyFont="1" applyProtection="1">
      <protection hidden="1"/>
    </xf>
    <xf numFmtId="10" fontId="2" fillId="0" borderId="0" xfId="0" applyNumberFormat="1" applyFont="1" applyProtection="1">
      <protection hidden="1"/>
    </xf>
    <xf numFmtId="10" fontId="22" fillId="0" borderId="5" xfId="3" applyNumberFormat="1" applyFont="1" applyBorder="1" applyAlignment="1" applyProtection="1">
      <alignment horizontal="center" vertical="center"/>
      <protection hidden="1"/>
    </xf>
    <xf numFmtId="165" fontId="24" fillId="0" borderId="0" xfId="1" applyNumberFormat="1" applyFont="1" applyBorder="1" applyAlignment="1" applyProtection="1">
      <protection hidden="1"/>
    </xf>
    <xf numFmtId="0" fontId="1" fillId="0" borderId="5" xfId="0" applyFont="1" applyBorder="1" applyProtection="1"/>
    <xf numFmtId="165" fontId="1" fillId="0" borderId="5" xfId="0" applyNumberFormat="1" applyFont="1" applyFill="1" applyBorder="1" applyProtection="1">
      <protection hidden="1"/>
    </xf>
    <xf numFmtId="0" fontId="24" fillId="0" borderId="0" xfId="1" applyFont="1" applyAlignment="1" applyProtection="1">
      <protection hidden="1"/>
    </xf>
    <xf numFmtId="49" fontId="6" fillId="6" borderId="5" xfId="3" applyNumberFormat="1" applyFont="1" applyFill="1" applyBorder="1" applyAlignment="1" applyProtection="1">
      <alignment horizontal="center" vertical="center"/>
      <protection hidden="1"/>
    </xf>
    <xf numFmtId="0" fontId="1" fillId="0" borderId="0" xfId="3" applyFont="1"/>
    <xf numFmtId="49" fontId="1" fillId="2" borderId="1" xfId="3" applyNumberFormat="1" applyFont="1" applyFill="1" applyBorder="1" applyAlignment="1"/>
    <xf numFmtId="20" fontId="1" fillId="4" borderId="1" xfId="3" applyNumberFormat="1" applyFont="1" applyFill="1" applyBorder="1" applyAlignment="1">
      <alignment horizontal="center"/>
    </xf>
    <xf numFmtId="20" fontId="1" fillId="2" borderId="1" xfId="3" applyNumberFormat="1" applyFont="1" applyFill="1" applyBorder="1" applyAlignment="1">
      <alignment horizontal="center"/>
    </xf>
    <xf numFmtId="166" fontId="2" fillId="2" borderId="1" xfId="3" applyNumberFormat="1" applyFont="1" applyFill="1" applyBorder="1" applyAlignment="1">
      <alignment horizontal="center"/>
    </xf>
    <xf numFmtId="166" fontId="2" fillId="4" borderId="5" xfId="3" applyNumberFormat="1" applyFont="1" applyFill="1" applyBorder="1" applyAlignment="1">
      <alignment horizontal="center"/>
    </xf>
    <xf numFmtId="49" fontId="1" fillId="0" borderId="0" xfId="3" applyNumberFormat="1" applyFont="1"/>
    <xf numFmtId="4" fontId="1" fillId="0" borderId="0" xfId="3" applyNumberFormat="1" applyFont="1" applyFill="1" applyProtection="1">
      <protection locked="0"/>
    </xf>
    <xf numFmtId="4" fontId="1" fillId="0" borderId="0" xfId="3" applyNumberFormat="1" applyFont="1"/>
    <xf numFmtId="167" fontId="2" fillId="0" borderId="0" xfId="3" applyNumberFormat="1" applyFont="1" applyProtection="1">
      <protection hidden="1"/>
    </xf>
    <xf numFmtId="0" fontId="1" fillId="0" borderId="0" xfId="3" applyFont="1" applyProtection="1">
      <protection locked="0"/>
    </xf>
    <xf numFmtId="0" fontId="1" fillId="0" borderId="0" xfId="3" applyFont="1" applyFill="1"/>
    <xf numFmtId="49" fontId="1" fillId="0" borderId="2" xfId="3" applyNumberFormat="1" applyFont="1" applyBorder="1"/>
    <xf numFmtId="4" fontId="1" fillId="0" borderId="2" xfId="3" applyNumberFormat="1" applyFont="1" applyBorder="1"/>
    <xf numFmtId="167" fontId="2" fillId="0" borderId="2" xfId="3" applyNumberFormat="1" applyFont="1" applyBorder="1" applyProtection="1">
      <protection hidden="1"/>
    </xf>
    <xf numFmtId="0" fontId="1" fillId="0" borderId="2" xfId="3" applyFont="1" applyBorder="1"/>
    <xf numFmtId="49" fontId="1" fillId="3" borderId="0" xfId="3" applyNumberFormat="1" applyFont="1" applyFill="1"/>
    <xf numFmtId="4" fontId="1" fillId="3" borderId="0" xfId="3" applyNumberFormat="1" applyFont="1" applyFill="1"/>
    <xf numFmtId="0" fontId="1" fillId="3" borderId="0" xfId="3" applyFont="1" applyFill="1"/>
    <xf numFmtId="4" fontId="2" fillId="3" borderId="0" xfId="3" applyNumberFormat="1" applyFont="1" applyFill="1"/>
    <xf numFmtId="0" fontId="1" fillId="0" borderId="0" xfId="3" applyFont="1" applyProtection="1"/>
    <xf numFmtId="166" fontId="1" fillId="0" borderId="0" xfId="3" applyNumberFormat="1" applyFont="1" applyProtection="1">
      <protection locked="0"/>
    </xf>
    <xf numFmtId="166" fontId="1" fillId="0" borderId="0" xfId="3" applyNumberFormat="1" applyFont="1"/>
    <xf numFmtId="4" fontId="2" fillId="0" borderId="0" xfId="3" applyNumberFormat="1" applyFont="1" applyFill="1" applyProtection="1">
      <protection locked="0"/>
    </xf>
    <xf numFmtId="0" fontId="1" fillId="0" borderId="0" xfId="3" applyFont="1" applyBorder="1" applyProtection="1"/>
    <xf numFmtId="49" fontId="1" fillId="0" borderId="2" xfId="3" applyNumberFormat="1" applyFont="1" applyFill="1" applyBorder="1" applyProtection="1"/>
    <xf numFmtId="166" fontId="1" fillId="0" borderId="2" xfId="3" applyNumberFormat="1" applyFont="1" applyFill="1" applyBorder="1"/>
    <xf numFmtId="4" fontId="2" fillId="0" borderId="2" xfId="3" applyNumberFormat="1" applyFont="1" applyFill="1" applyBorder="1"/>
    <xf numFmtId="166" fontId="2" fillId="2" borderId="6" xfId="3" applyNumberFormat="1" applyFont="1" applyFill="1" applyBorder="1" applyAlignment="1">
      <alignment horizontal="center"/>
    </xf>
    <xf numFmtId="166" fontId="2" fillId="2" borderId="5" xfId="3" applyNumberFormat="1" applyFont="1" applyFill="1" applyBorder="1" applyAlignment="1">
      <alignment horizontal="center"/>
    </xf>
    <xf numFmtId="165" fontId="1" fillId="0" borderId="0" xfId="3" applyNumberFormat="1" applyFont="1" applyFill="1"/>
    <xf numFmtId="165" fontId="1" fillId="0" borderId="0" xfId="3" applyNumberFormat="1" applyFont="1"/>
    <xf numFmtId="167" fontId="2" fillId="0" borderId="0" xfId="3" applyNumberFormat="1" applyFont="1" applyProtection="1"/>
    <xf numFmtId="166" fontId="2" fillId="0" borderId="0" xfId="3" applyNumberFormat="1" applyFont="1" applyProtection="1">
      <protection hidden="1"/>
    </xf>
    <xf numFmtId="166" fontId="2" fillId="0" borderId="0" xfId="3" applyNumberFormat="1" applyFont="1"/>
    <xf numFmtId="0" fontId="1" fillId="0" borderId="0" xfId="3" applyFont="1" applyBorder="1"/>
    <xf numFmtId="165" fontId="1" fillId="0" borderId="0" xfId="3" applyNumberFormat="1" applyFont="1" applyProtection="1">
      <protection locked="0" hidden="1"/>
    </xf>
    <xf numFmtId="165" fontId="1" fillId="4" borderId="0" xfId="3" applyNumberFormat="1" applyFont="1" applyFill="1" applyBorder="1" applyProtection="1">
      <protection locked="0"/>
    </xf>
    <xf numFmtId="0" fontId="4" fillId="0" borderId="0" xfId="3" applyFont="1" applyFill="1" applyBorder="1" applyProtection="1">
      <protection hidden="1"/>
    </xf>
    <xf numFmtId="165" fontId="2" fillId="0" borderId="0" xfId="3" applyNumberFormat="1" applyFont="1" applyBorder="1"/>
    <xf numFmtId="0" fontId="1" fillId="0" borderId="5" xfId="3" applyFont="1" applyBorder="1"/>
    <xf numFmtId="165" fontId="1" fillId="0" borderId="5" xfId="3" applyNumberFormat="1" applyFont="1" applyBorder="1" applyProtection="1"/>
    <xf numFmtId="167" fontId="2" fillId="0" borderId="5" xfId="3" applyNumberFormat="1" applyFont="1" applyBorder="1" applyProtection="1"/>
    <xf numFmtId="4" fontId="4" fillId="0" borderId="5" xfId="3" applyNumberFormat="1" applyFont="1" applyFill="1" applyBorder="1"/>
    <xf numFmtId="165" fontId="2" fillId="0" borderId="5" xfId="3" applyNumberFormat="1" applyFont="1" applyBorder="1"/>
    <xf numFmtId="0" fontId="3" fillId="0" borderId="0" xfId="3" applyFont="1" applyProtection="1">
      <protection hidden="1"/>
    </xf>
    <xf numFmtId="4" fontId="4" fillId="4" borderId="7" xfId="3" applyNumberFormat="1" applyFont="1" applyFill="1" applyBorder="1" applyProtection="1">
      <protection locked="0"/>
    </xf>
    <xf numFmtId="4" fontId="4" fillId="0" borderId="0" xfId="3" applyNumberFormat="1" applyFont="1" applyBorder="1" applyProtection="1">
      <protection hidden="1"/>
    </xf>
    <xf numFmtId="0" fontId="5" fillId="5" borderId="5" xfId="3" applyFont="1" applyFill="1" applyBorder="1" applyAlignment="1">
      <alignment horizontal="center"/>
    </xf>
    <xf numFmtId="0" fontId="3" fillId="0" borderId="0" xfId="3" applyFont="1" applyBorder="1" applyProtection="1">
      <protection hidden="1"/>
    </xf>
    <xf numFmtId="10" fontId="4" fillId="4" borderId="0" xfId="3" applyNumberFormat="1" applyFont="1" applyFill="1" applyBorder="1" applyProtection="1">
      <protection locked="0"/>
    </xf>
    <xf numFmtId="4" fontId="4" fillId="4" borderId="0" xfId="3" applyNumberFormat="1" applyFont="1" applyFill="1" applyBorder="1" applyProtection="1">
      <protection locked="0"/>
    </xf>
    <xf numFmtId="4" fontId="4" fillId="4" borderId="9" xfId="3" applyNumberFormat="1" applyFont="1" applyFill="1" applyBorder="1" applyProtection="1">
      <protection locked="0"/>
    </xf>
    <xf numFmtId="0" fontId="8" fillId="0" borderId="0" xfId="3" applyFont="1" applyProtection="1">
      <protection hidden="1"/>
    </xf>
    <xf numFmtId="166" fontId="1" fillId="0" borderId="0" xfId="3" applyNumberFormat="1" applyFont="1" applyProtection="1"/>
    <xf numFmtId="167" fontId="2" fillId="0" borderId="7" xfId="3" applyNumberFormat="1" applyFont="1" applyBorder="1" applyProtection="1"/>
    <xf numFmtId="166" fontId="5" fillId="5" borderId="5" xfId="3" applyNumberFormat="1" applyFont="1" applyFill="1" applyBorder="1" applyAlignment="1" applyProtection="1">
      <alignment horizontal="center" vertical="center"/>
      <protection hidden="1"/>
    </xf>
    <xf numFmtId="0" fontId="2" fillId="0" borderId="0" xfId="3" applyNumberFormat="1" applyFont="1" applyFill="1" applyAlignment="1" applyProtection="1">
      <alignment horizontal="center"/>
      <protection hidden="1"/>
    </xf>
    <xf numFmtId="0" fontId="9" fillId="0" borderId="0" xfId="3" applyFont="1" applyBorder="1" applyProtection="1">
      <protection hidden="1"/>
    </xf>
    <xf numFmtId="165" fontId="1" fillId="0" borderId="0" xfId="3" applyNumberFormat="1" applyFont="1" applyFill="1" applyBorder="1" applyProtection="1">
      <protection hidden="1"/>
    </xf>
    <xf numFmtId="166" fontId="1" fillId="4" borderId="0" xfId="3" applyNumberFormat="1" applyFont="1" applyFill="1" applyBorder="1" applyAlignment="1" applyProtection="1">
      <alignment horizontal="center"/>
      <protection locked="0"/>
    </xf>
    <xf numFmtId="166" fontId="4" fillId="0" borderId="0" xfId="3" applyNumberFormat="1" applyFont="1" applyFill="1" applyBorder="1" applyAlignment="1" applyProtection="1">
      <alignment horizontal="center"/>
      <protection hidden="1"/>
    </xf>
    <xf numFmtId="0" fontId="2" fillId="0" borderId="0" xfId="3" applyNumberFormat="1" applyFont="1" applyFill="1" applyAlignment="1" applyProtection="1">
      <alignment horizontal="center"/>
      <protection locked="0" hidden="1"/>
    </xf>
    <xf numFmtId="0" fontId="1" fillId="0" borderId="0" xfId="3" applyFont="1" applyBorder="1" applyProtection="1">
      <protection hidden="1"/>
    </xf>
    <xf numFmtId="166" fontId="2" fillId="0" borderId="0" xfId="3" applyNumberFormat="1" applyFont="1" applyFill="1" applyBorder="1" applyProtection="1">
      <protection hidden="1"/>
    </xf>
    <xf numFmtId="166" fontId="1" fillId="0" borderId="0" xfId="3" applyNumberFormat="1" applyFont="1" applyBorder="1" applyProtection="1">
      <protection hidden="1"/>
    </xf>
    <xf numFmtId="168" fontId="2" fillId="0" borderId="0" xfId="3" applyNumberFormat="1" applyFont="1" applyAlignment="1" applyProtection="1">
      <alignment horizontal="center"/>
      <protection hidden="1"/>
    </xf>
    <xf numFmtId="168" fontId="2" fillId="0" borderId="0" xfId="3" applyNumberFormat="1" applyFont="1" applyAlignment="1" applyProtection="1">
      <alignment horizontal="center"/>
      <protection locked="0" hidden="1"/>
    </xf>
    <xf numFmtId="0" fontId="1" fillId="0" borderId="7" xfId="3" applyFont="1" applyBorder="1" applyProtection="1">
      <protection hidden="1"/>
    </xf>
    <xf numFmtId="165" fontId="1" fillId="0" borderId="7" xfId="3" applyNumberFormat="1" applyFont="1" applyFill="1" applyBorder="1" applyProtection="1">
      <protection hidden="1"/>
    </xf>
    <xf numFmtId="0" fontId="1" fillId="0" borderId="7" xfId="3" applyFont="1" applyBorder="1"/>
    <xf numFmtId="166" fontId="2" fillId="0" borderId="7" xfId="3" applyNumberFormat="1" applyFont="1" applyBorder="1" applyProtection="1">
      <protection hidden="1"/>
    </xf>
    <xf numFmtId="9" fontId="4" fillId="0" borderId="7" xfId="3" applyNumberFormat="1" applyFont="1" applyBorder="1" applyAlignment="1" applyProtection="1">
      <alignment horizontal="center"/>
      <protection hidden="1"/>
    </xf>
    <xf numFmtId="0" fontId="1" fillId="0" borderId="0" xfId="3" applyNumberFormat="1" applyFont="1" applyBorder="1" applyProtection="1">
      <protection hidden="1"/>
    </xf>
    <xf numFmtId="0" fontId="1" fillId="0" borderId="3" xfId="3" applyFont="1" applyBorder="1" applyProtection="1">
      <protection hidden="1"/>
    </xf>
    <xf numFmtId="165" fontId="1" fillId="4" borderId="3" xfId="3" applyNumberFormat="1" applyFont="1" applyFill="1" applyBorder="1" applyProtection="1">
      <protection locked="0"/>
    </xf>
    <xf numFmtId="166" fontId="2" fillId="0" borderId="3" xfId="3" applyNumberFormat="1" applyFont="1" applyFill="1" applyBorder="1" applyProtection="1">
      <protection hidden="1"/>
    </xf>
    <xf numFmtId="166" fontId="1" fillId="0" borderId="3" xfId="3" applyNumberFormat="1" applyFont="1" applyBorder="1" applyProtection="1">
      <protection hidden="1"/>
    </xf>
    <xf numFmtId="167" fontId="2" fillId="0" borderId="0" xfId="3" applyNumberFormat="1" applyFont="1" applyBorder="1" applyProtection="1">
      <protection hidden="1"/>
    </xf>
    <xf numFmtId="165" fontId="17" fillId="0" borderId="0" xfId="3" applyNumberFormat="1" applyFont="1" applyFill="1" applyBorder="1" applyProtection="1">
      <protection hidden="1"/>
    </xf>
    <xf numFmtId="9" fontId="17" fillId="0" borderId="0" xfId="3" applyNumberFormat="1" applyFont="1" applyFill="1" applyBorder="1" applyProtection="1">
      <protection hidden="1"/>
    </xf>
    <xf numFmtId="0" fontId="19" fillId="0" borderId="0" xfId="3" applyFont="1" applyProtection="1">
      <protection hidden="1"/>
    </xf>
    <xf numFmtId="0" fontId="18" fillId="0" borderId="0" xfId="3" applyFont="1" applyProtection="1">
      <protection hidden="1"/>
    </xf>
    <xf numFmtId="164" fontId="2" fillId="0" borderId="0" xfId="3" applyNumberFormat="1" applyFont="1" applyBorder="1" applyAlignment="1" applyProtection="1">
      <protection hidden="1"/>
    </xf>
    <xf numFmtId="165" fontId="1" fillId="4" borderId="0" xfId="3" applyNumberFormat="1" applyFont="1" applyFill="1" applyBorder="1" applyProtection="1">
      <protection locked="0" hidden="1"/>
    </xf>
    <xf numFmtId="0" fontId="1" fillId="0" borderId="5" xfId="3" applyFont="1" applyBorder="1" applyProtection="1"/>
    <xf numFmtId="165" fontId="1" fillId="0" borderId="5" xfId="3" applyNumberFormat="1" applyFont="1" applyFill="1" applyBorder="1" applyProtection="1">
      <protection hidden="1"/>
    </xf>
    <xf numFmtId="166" fontId="1" fillId="0" borderId="0" xfId="3" applyNumberFormat="1" applyFont="1" applyProtection="1">
      <protection hidden="1"/>
    </xf>
    <xf numFmtId="167" fontId="2" fillId="0" borderId="7" xfId="3" applyNumberFormat="1" applyFont="1" applyBorder="1" applyProtection="1">
      <protection hidden="1"/>
    </xf>
    <xf numFmtId="0" fontId="1" fillId="0" borderId="0" xfId="3" applyFont="1" applyFill="1" applyBorder="1" applyProtection="1">
      <protection hidden="1"/>
    </xf>
    <xf numFmtId="164" fontId="2" fillId="0" borderId="0" xfId="3" applyNumberFormat="1" applyFont="1" applyFill="1" applyBorder="1" applyAlignment="1" applyProtection="1">
      <protection hidden="1"/>
    </xf>
    <xf numFmtId="0" fontId="1" fillId="0" borderId="7" xfId="3" applyFont="1" applyFill="1" applyBorder="1" applyProtection="1">
      <protection hidden="1"/>
    </xf>
    <xf numFmtId="0" fontId="1" fillId="0" borderId="8" xfId="3" applyFont="1" applyFill="1" applyBorder="1" applyProtection="1">
      <protection hidden="1"/>
    </xf>
    <xf numFmtId="0" fontId="1" fillId="0" borderId="2" xfId="3" applyFont="1" applyFill="1" applyBorder="1" applyProtection="1">
      <protection hidden="1"/>
    </xf>
    <xf numFmtId="165" fontId="1" fillId="0" borderId="2" xfId="3" applyNumberFormat="1" applyFont="1" applyFill="1" applyBorder="1" applyProtection="1">
      <protection hidden="1"/>
    </xf>
    <xf numFmtId="167" fontId="2" fillId="0" borderId="2" xfId="3" applyNumberFormat="1" applyFont="1" applyBorder="1" applyProtection="1"/>
    <xf numFmtId="0" fontId="1" fillId="3" borderId="0" xfId="3" applyFont="1" applyFill="1" applyBorder="1" applyProtection="1">
      <protection hidden="1"/>
    </xf>
    <xf numFmtId="165" fontId="1" fillId="3" borderId="0" xfId="3" applyNumberFormat="1" applyFont="1" applyFill="1" applyBorder="1" applyProtection="1">
      <protection hidden="1"/>
    </xf>
    <xf numFmtId="0" fontId="1" fillId="3" borderId="0" xfId="3" applyFont="1" applyFill="1" applyProtection="1">
      <protection hidden="1"/>
    </xf>
    <xf numFmtId="165" fontId="1" fillId="0" borderId="0" xfId="3" applyNumberFormat="1" applyFont="1" applyProtection="1"/>
    <xf numFmtId="167" fontId="2" fillId="0" borderId="0" xfId="3" applyNumberFormat="1" applyFont="1" applyFill="1" applyBorder="1" applyProtection="1"/>
    <xf numFmtId="165" fontId="1" fillId="0" borderId="0" xfId="3" applyNumberFormat="1" applyFont="1" applyFill="1" applyProtection="1"/>
    <xf numFmtId="165" fontId="1" fillId="0" borderId="2" xfId="3" applyNumberFormat="1" applyFont="1" applyBorder="1" applyProtection="1"/>
    <xf numFmtId="165" fontId="1" fillId="0" borderId="2" xfId="3" applyNumberFormat="1" applyFont="1" applyBorder="1"/>
    <xf numFmtId="167" fontId="2" fillId="0" borderId="2" xfId="3" applyNumberFormat="1" applyFont="1" applyFill="1" applyBorder="1" applyProtection="1"/>
    <xf numFmtId="167" fontId="1" fillId="0" borderId="2" xfId="3" applyNumberFormat="1" applyFont="1" applyBorder="1"/>
    <xf numFmtId="49" fontId="1" fillId="0" borderId="4" xfId="3" applyNumberFormat="1" applyFont="1" applyBorder="1"/>
    <xf numFmtId="165" fontId="1" fillId="0" borderId="4" xfId="3" applyNumberFormat="1" applyFont="1" applyBorder="1" applyProtection="1"/>
    <xf numFmtId="165" fontId="1" fillId="0" borderId="4" xfId="3" applyNumberFormat="1" applyFont="1" applyBorder="1"/>
    <xf numFmtId="167" fontId="2" fillId="0" borderId="4" xfId="3" applyNumberFormat="1" applyFont="1" applyFill="1" applyBorder="1"/>
    <xf numFmtId="0" fontId="1" fillId="0" borderId="4" xfId="3" applyFont="1" applyBorder="1"/>
    <xf numFmtId="0" fontId="14" fillId="2" borderId="6" xfId="3" applyFont="1" applyFill="1" applyBorder="1" applyAlignment="1" applyProtection="1">
      <alignment vertical="center"/>
      <protection hidden="1"/>
    </xf>
    <xf numFmtId="4" fontId="2" fillId="0" borderId="0" xfId="3" applyNumberFormat="1" applyFont="1"/>
    <xf numFmtId="0" fontId="1" fillId="0" borderId="2" xfId="3" applyFont="1" applyBorder="1" applyProtection="1">
      <protection hidden="1"/>
    </xf>
    <xf numFmtId="165" fontId="1" fillId="0" borderId="2" xfId="3" applyNumberFormat="1" applyFont="1" applyBorder="1" applyProtection="1">
      <protection hidden="1"/>
    </xf>
    <xf numFmtId="4" fontId="2" fillId="0" borderId="2" xfId="3" applyNumberFormat="1" applyFont="1" applyBorder="1"/>
    <xf numFmtId="165" fontId="1" fillId="4" borderId="0" xfId="3" applyNumberFormat="1" applyFont="1" applyFill="1" applyProtection="1">
      <protection locked="0"/>
    </xf>
    <xf numFmtId="49" fontId="1" fillId="0" borderId="3" xfId="3" applyNumberFormat="1" applyFont="1" applyBorder="1"/>
    <xf numFmtId="4" fontId="1" fillId="0" borderId="3" xfId="3" applyNumberFormat="1" applyFont="1" applyBorder="1"/>
    <xf numFmtId="4" fontId="2" fillId="0" borderId="3" xfId="3" applyNumberFormat="1" applyFont="1" applyBorder="1"/>
    <xf numFmtId="165" fontId="1" fillId="0" borderId="3" xfId="3" applyNumberFormat="1" applyFont="1" applyBorder="1"/>
    <xf numFmtId="10" fontId="2" fillId="0" borderId="0" xfId="4" applyNumberFormat="1" applyFont="1" applyProtection="1">
      <protection hidden="1"/>
    </xf>
    <xf numFmtId="0" fontId="1" fillId="0" borderId="0" xfId="4" applyFont="1" applyProtection="1">
      <protection hidden="1"/>
    </xf>
    <xf numFmtId="0" fontId="26" fillId="0" borderId="0" xfId="1" applyFont="1" applyAlignment="1" applyProtection="1">
      <alignment horizontal="center"/>
    </xf>
    <xf numFmtId="165" fontId="26" fillId="0" borderId="0" xfId="1" applyNumberFormat="1" applyFont="1" applyBorder="1" applyAlignment="1" applyProtection="1">
      <protection hidden="1"/>
    </xf>
    <xf numFmtId="49" fontId="6" fillId="6" borderId="5" xfId="3" applyNumberFormat="1" applyFont="1" applyFill="1" applyBorder="1" applyAlignment="1" applyProtection="1">
      <alignment horizontal="center" vertical="center"/>
      <protection hidden="1"/>
    </xf>
    <xf numFmtId="167" fontId="2" fillId="0" borderId="0" xfId="3" applyNumberFormat="1" applyFont="1" applyFill="1" applyBorder="1" applyProtection="1">
      <protection hidden="1"/>
    </xf>
    <xf numFmtId="167" fontId="2" fillId="0" borderId="5" xfId="3" applyNumberFormat="1" applyFont="1" applyBorder="1" applyAlignment="1" applyProtection="1">
      <alignment vertical="center"/>
      <protection hidden="1"/>
    </xf>
    <xf numFmtId="167" fontId="17" fillId="0" borderId="0" xfId="0" applyNumberFormat="1" applyFont="1" applyFill="1" applyBorder="1" applyProtection="1">
      <protection hidden="1"/>
    </xf>
    <xf numFmtId="49" fontId="6" fillId="6" borderId="5" xfId="3" applyNumberFormat="1" applyFont="1" applyFill="1" applyBorder="1" applyAlignment="1" applyProtection="1">
      <alignment horizontal="center" vertical="center"/>
      <protection hidden="1"/>
    </xf>
    <xf numFmtId="0" fontId="27" fillId="0" borderId="0" xfId="0" applyFont="1" applyBorder="1" applyProtection="1">
      <protection hidden="1"/>
    </xf>
    <xf numFmtId="165" fontId="1" fillId="0" borderId="5" xfId="0" applyNumberFormat="1" applyFont="1" applyFill="1" applyBorder="1"/>
    <xf numFmtId="166" fontId="2" fillId="0" borderId="5" xfId="0" applyNumberFormat="1" applyFont="1" applyBorder="1" applyProtection="1">
      <protection hidden="1"/>
    </xf>
    <xf numFmtId="166" fontId="2" fillId="0" borderId="5" xfId="0" applyNumberFormat="1" applyFont="1" applyBorder="1"/>
    <xf numFmtId="165" fontId="26" fillId="0" borderId="0" xfId="1" applyNumberFormat="1" applyFont="1" applyBorder="1" applyAlignment="1" applyProtection="1">
      <alignment horizontal="center"/>
      <protection hidden="1"/>
    </xf>
    <xf numFmtId="169" fontId="1" fillId="4" borderId="0" xfId="0" applyNumberFormat="1" applyFont="1" applyFill="1" applyBorder="1" applyProtection="1">
      <protection locked="0" hidden="1"/>
    </xf>
    <xf numFmtId="166" fontId="2" fillId="0" borderId="0" xfId="0" applyNumberFormat="1" applyFont="1" applyBorder="1" applyProtection="1">
      <protection hidden="1"/>
    </xf>
    <xf numFmtId="0" fontId="26" fillId="0" borderId="0" xfId="1" applyFont="1" applyAlignment="1" applyProtection="1">
      <alignment horizontal="center"/>
      <protection hidden="1"/>
    </xf>
    <xf numFmtId="167" fontId="2" fillId="8" borderId="0" xfId="0" applyNumberFormat="1" applyFont="1" applyFill="1" applyProtection="1">
      <protection locked="0"/>
    </xf>
    <xf numFmtId="49" fontId="6" fillId="6" borderId="5" xfId="3" applyNumberFormat="1" applyFont="1" applyFill="1" applyBorder="1" applyAlignment="1" applyProtection="1">
      <alignment horizontal="center" vertical="center"/>
      <protection hidden="1"/>
    </xf>
    <xf numFmtId="49" fontId="6" fillId="6" borderId="5" xfId="3" applyNumberFormat="1" applyFont="1" applyFill="1" applyBorder="1" applyAlignment="1" applyProtection="1">
      <alignment horizontal="center" vertical="center"/>
      <protection hidden="1"/>
    </xf>
    <xf numFmtId="10" fontId="2" fillId="0" borderId="0" xfId="5" applyNumberFormat="1" applyFont="1" applyProtection="1">
      <protection hidden="1"/>
    </xf>
    <xf numFmtId="0" fontId="1" fillId="0" borderId="0" xfId="5" applyFont="1" applyProtection="1">
      <protection hidden="1"/>
    </xf>
    <xf numFmtId="49" fontId="6" fillId="6" borderId="3" xfId="0" applyNumberFormat="1" applyFont="1" applyFill="1" applyBorder="1" applyAlignment="1">
      <alignment horizontal="center" vertical="center"/>
    </xf>
    <xf numFmtId="167" fontId="5" fillId="5" borderId="5" xfId="0" applyNumberFormat="1" applyFont="1" applyFill="1" applyBorder="1" applyAlignment="1">
      <alignment horizontal="left"/>
    </xf>
    <xf numFmtId="167" fontId="2" fillId="0" borderId="2" xfId="0" applyNumberFormat="1" applyFont="1" applyBorder="1" applyAlignment="1" applyProtection="1">
      <alignment horizontal="right"/>
      <protection hidden="1"/>
    </xf>
    <xf numFmtId="49" fontId="6" fillId="6" borderId="5" xfId="3" applyNumberFormat="1" applyFont="1" applyFill="1" applyBorder="1" applyAlignment="1" applyProtection="1">
      <alignment horizontal="center" vertical="center"/>
      <protection hidden="1"/>
    </xf>
    <xf numFmtId="49" fontId="6" fillId="6" borderId="3" xfId="3" applyNumberFormat="1" applyFont="1" applyFill="1" applyBorder="1" applyAlignment="1">
      <alignment horizontal="center" vertical="center"/>
    </xf>
    <xf numFmtId="167" fontId="5" fillId="5" borderId="5" xfId="3" applyNumberFormat="1" applyFont="1" applyFill="1" applyBorder="1" applyAlignment="1">
      <alignment horizontal="left"/>
    </xf>
    <xf numFmtId="167" fontId="2" fillId="0" borderId="2" xfId="3" applyNumberFormat="1" applyFont="1" applyBorder="1" applyAlignment="1" applyProtection="1">
      <alignment horizontal="right"/>
      <protection hidden="1"/>
    </xf>
    <xf numFmtId="165" fontId="1" fillId="0" borderId="3" xfId="0" applyNumberFormat="1" applyFont="1" applyFill="1" applyBorder="1" applyProtection="1">
      <protection hidden="1"/>
    </xf>
  </cellXfs>
  <cellStyles count="6">
    <cellStyle name="Link" xfId="1" builtinId="8"/>
    <cellStyle name="Standard" xfId="0" builtinId="0"/>
    <cellStyle name="Standard 2" xfId="3"/>
    <cellStyle name="Standard 3" xfId="4"/>
    <cellStyle name="Standard 3 2" xfId="5"/>
    <cellStyle name="Standard_RVO Jahresbudget 2011" xfId="2"/>
  </cellStyles>
  <dxfs count="236">
    <dxf>
      <font>
        <condense val="0"/>
        <extend val="0"/>
        <color indexed="62"/>
      </font>
      <fill>
        <patternFill>
          <bgColor indexed="42"/>
        </patternFill>
      </fill>
      <border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strike/>
      </font>
      <fill>
        <patternFill>
          <bgColor theme="5" tint="0.39994506668294322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border>
        <left style="thin">
          <color indexed="64"/>
        </left>
        <right style="thin">
          <color indexed="64"/>
        </right>
      </border>
    </dxf>
    <dxf>
      <border>
        <left style="thin">
          <color indexed="64"/>
        </left>
        <right style="thin">
          <color indexed="64"/>
        </right>
      </border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border>
        <left style="thin">
          <color indexed="64"/>
        </left>
        <right style="thin">
          <color indexed="64"/>
        </right>
      </border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border>
        <left style="thin">
          <color indexed="64"/>
        </left>
        <right style="thin">
          <color indexed="64"/>
        </right>
      </border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ont>
        <strike/>
      </font>
      <fill>
        <patternFill>
          <bgColor theme="5" tint="0.39994506668294322"/>
        </patternFill>
      </fill>
    </dxf>
    <dxf>
      <border>
        <left style="thin">
          <color indexed="64"/>
        </left>
        <right style="thin">
          <color indexed="64"/>
        </right>
      </border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ill>
        <patternFill>
          <bgColor rgb="FF92D05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9" tint="0.39994506668294322"/>
        </patternFill>
      </fill>
    </dxf>
    <dxf>
      <border>
        <left style="thin">
          <color indexed="64"/>
        </left>
        <right style="thin">
          <color indexed="64"/>
        </right>
      </border>
    </dxf>
    <dxf>
      <font>
        <strike/>
      </font>
      <fill>
        <patternFill>
          <bgColor theme="5" tint="0.39994506668294322"/>
        </patternFill>
      </fill>
    </dxf>
    <dxf>
      <border>
        <left style="thin">
          <color indexed="64"/>
        </left>
        <right style="thin">
          <color indexed="64"/>
        </right>
      </border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ill>
        <patternFill>
          <bgColor rgb="FF92D05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9" tint="0.39994506668294322"/>
        </patternFill>
      </fill>
    </dxf>
    <dxf>
      <font>
        <strike/>
      </font>
      <fill>
        <patternFill>
          <bgColor theme="5" tint="0.39994506668294322"/>
        </patternFill>
      </fill>
    </dxf>
    <dxf>
      <border>
        <left style="thin">
          <color indexed="64"/>
        </left>
        <right style="thin">
          <color indexed="64"/>
        </right>
      </border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ill>
        <patternFill>
          <bgColor rgb="FF92D05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9" tint="0.39994506668294322"/>
        </patternFill>
      </fill>
    </dxf>
    <dxf>
      <border>
        <left style="thin">
          <color indexed="64"/>
        </left>
        <right style="thin">
          <color indexed="64"/>
        </right>
      </border>
    </dxf>
    <dxf>
      <font>
        <strike/>
      </font>
      <fill>
        <patternFill>
          <bgColor theme="5" tint="0.39994506668294322"/>
        </patternFill>
      </fill>
    </dxf>
    <dxf>
      <border>
        <left style="thin">
          <color indexed="64"/>
        </left>
        <right style="thin">
          <color indexed="64"/>
        </right>
      </border>
    </dxf>
    <dxf>
      <font>
        <strike/>
        <condense val="0"/>
        <extend val="0"/>
      </font>
      <fill>
        <patternFill>
          <bgColor indexed="11"/>
        </patternFill>
      </fill>
    </dxf>
    <dxf>
      <font>
        <strike/>
        <condense val="0"/>
        <extend val="0"/>
      </font>
      <fill>
        <patternFill>
          <bgColor indexed="29"/>
        </patternFill>
      </fill>
    </dxf>
    <dxf>
      <fill>
        <patternFill>
          <bgColor rgb="FF92D050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solid">
          <bgColor indexed="42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fill>
        <patternFill>
          <bgColor indexed="29"/>
        </patternFill>
      </fill>
    </dxf>
    <dxf>
      <fill>
        <patternFill>
          <bgColor indexed="29"/>
        </patternFill>
      </fill>
    </dxf>
    <dxf>
      <fill>
        <patternFill>
          <bgColor indexed="11"/>
        </patternFill>
      </fill>
    </dxf>
    <dxf>
      <fill>
        <patternFill>
          <bgColor theme="9" tint="0.39994506668294322"/>
        </patternFill>
      </fill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strike/>
      </font>
      <fill>
        <patternFill>
          <bgColor theme="5" tint="0.39994506668294322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  <dxf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strike/>
      </font>
      <fill>
        <patternFill>
          <bgColor theme="5" tint="0.39994506668294322"/>
        </patternFill>
      </fill>
    </dxf>
    <dxf>
      <font>
        <strike/>
        <condense val="0"/>
        <extend val="0"/>
      </font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8"/>
      </font>
      <fill>
        <patternFill patternType="none">
          <bgColor indexed="65"/>
        </patternFill>
      </fill>
      <border>
        <left style="thin">
          <color indexed="64"/>
        </left>
        <right style="thin">
          <color indexed="64"/>
        </right>
      </border>
    </dxf>
    <dxf>
      <font>
        <condense val="0"/>
        <extend val="0"/>
        <color indexed="9"/>
      </font>
      <fill>
        <patternFill>
          <bgColor indexed="17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condense val="0"/>
        <extend val="0"/>
        <color indexed="62"/>
      </font>
      <fill>
        <patternFill>
          <bgColor indexed="42"/>
        </patternFill>
      </fill>
      <border>
        <left/>
        <right style="thin">
          <color indexed="64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mf.gv.at/" TargetMode="External"/><Relationship Id="rId3" Type="http://schemas.openxmlformats.org/officeDocument/2006/relationships/hyperlink" Target="http://www.rvo.at/" TargetMode="External"/><Relationship Id="rId7" Type="http://schemas.openxmlformats.org/officeDocument/2006/relationships/hyperlink" Target="https://www.bmf.gv.at/" TargetMode="External"/><Relationship Id="rId12" Type="http://schemas.openxmlformats.org/officeDocument/2006/relationships/comments" Target="../comments1.x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hyperlink" Target="https://www.frauen-familien-jugend.bka.gv.at/familie/finanzielle-unterstuetzungen/mehrkindzuschlag.html" TargetMode="External"/><Relationship Id="rId11" Type="http://schemas.openxmlformats.org/officeDocument/2006/relationships/vmlDrawing" Target="../drawings/vmlDrawing1.vml"/><Relationship Id="rId5" Type="http://schemas.openxmlformats.org/officeDocument/2006/relationships/hyperlink" Target="https://www.svs.at/cdscontent/?contentid=10007.816857&amp;portal=svsportal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www.rvo.at/" TargetMode="External"/><Relationship Id="rId9" Type="http://schemas.openxmlformats.org/officeDocument/2006/relationships/hyperlink" Target="https://www.bmf.gv.at/themen/steuern/arbeitnehmerinnenveranlagung/steuertarif-steuerabsetzbetraege/steuertarif-steuerabsetzbetraege.html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mf.gv.at/steuern/familien-kinder/alleinverdiener-und-alleinerzieherabsetzbetrag.html" TargetMode="External"/><Relationship Id="rId13" Type="http://schemas.openxmlformats.org/officeDocument/2006/relationships/vmlDrawing" Target="../drawings/vmlDrawing6.vml"/><Relationship Id="rId3" Type="http://schemas.openxmlformats.org/officeDocument/2006/relationships/hyperlink" Target="http://www.rvo.at/" TargetMode="External"/><Relationship Id="rId7" Type="http://schemas.openxmlformats.org/officeDocument/2006/relationships/hyperlink" Target="https://www.frauen-familien-jugend.bka.gv.at/familie/finanzielle-unterstuetzungen/mehrkindzuschlag.html" TargetMode="External"/><Relationship Id="rId12" Type="http://schemas.openxmlformats.org/officeDocument/2006/relationships/printerSettings" Target="../printerSettings/printerSettings10.bin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hyperlink" Target="https://www.bmf.gv.at/aktuelles/familienbonus-plus-faq.html" TargetMode="External"/><Relationship Id="rId11" Type="http://schemas.openxmlformats.org/officeDocument/2006/relationships/hyperlink" Target="https://www.bmf.gv.at/steuern/arbeitnehmer-pensionisten/arbeitnehmerveranlagung/aussergewoehnliche-belastungen-allgemein.html" TargetMode="External"/><Relationship Id="rId5" Type="http://schemas.openxmlformats.org/officeDocument/2006/relationships/hyperlink" Target="https://www.svs.at/cdscontent/?contentid=10007.816857&amp;portal=svsportal" TargetMode="External"/><Relationship Id="rId10" Type="http://schemas.openxmlformats.org/officeDocument/2006/relationships/hyperlink" Target="https://www.bmf.gv.at/steuern/arbeitnehmer-pensionisten/arbeitnehmerveranlagung/sonderausgaben.html" TargetMode="External"/><Relationship Id="rId4" Type="http://schemas.openxmlformats.org/officeDocument/2006/relationships/hyperlink" Target="http://www.rvo.at/" TargetMode="External"/><Relationship Id="rId9" Type="http://schemas.openxmlformats.org/officeDocument/2006/relationships/hyperlink" Target="https://www.bmf.gv.at/steuern/familien-kinder/unterhaltsabsetzbetrag.html" TargetMode="External"/><Relationship Id="rId14" Type="http://schemas.openxmlformats.org/officeDocument/2006/relationships/comments" Target="../comments6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rvo.at/" TargetMode="Externa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2.bin"/><Relationship Id="rId3" Type="http://schemas.openxmlformats.org/officeDocument/2006/relationships/hyperlink" Target="http://www.rvo.at/" TargetMode="External"/><Relationship Id="rId7" Type="http://schemas.openxmlformats.org/officeDocument/2006/relationships/hyperlink" Target="https://www.frauen-familien-jugend.bka.gv.at/familie/finanzielle-unterstuetzungen/mehrkindzuschlag.html" TargetMode="Externa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hyperlink" Target="https://www.bmf.gv.at/aktuelles/familienbonus-plus-faq.html" TargetMode="External"/><Relationship Id="rId5" Type="http://schemas.openxmlformats.org/officeDocument/2006/relationships/hyperlink" Target="https://www.svagw.at/portal27/svaportal/content?contentid=10007.775644&amp;viewmode=content" TargetMode="External"/><Relationship Id="rId10" Type="http://schemas.openxmlformats.org/officeDocument/2006/relationships/comments" Target="../comments7.xml"/><Relationship Id="rId4" Type="http://schemas.openxmlformats.org/officeDocument/2006/relationships/hyperlink" Target="http://www.rvo.at/" TargetMode="External"/><Relationship Id="rId9" Type="http://schemas.openxmlformats.org/officeDocument/2006/relationships/vmlDrawing" Target="../drawings/vmlDrawing7.v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omments" Target="../comments8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8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13.bin"/><Relationship Id="rId5" Type="http://schemas.openxmlformats.org/officeDocument/2006/relationships/hyperlink" Target="https://www.svagw.at/portal27/svaportal/content?contentid=10007.775644&amp;viewmode=content" TargetMode="External"/><Relationship Id="rId4" Type="http://schemas.openxmlformats.org/officeDocument/2006/relationships/hyperlink" Target="http://www.rvo.at/" TargetMode="Externa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omments" Target="../comments9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9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14.bin"/><Relationship Id="rId5" Type="http://schemas.openxmlformats.org/officeDocument/2006/relationships/hyperlink" Target="http://esv-sva.sozvers.at/portal27/portal/svaportal/channel_content/cmsWindow?action=2&amp;p_menuid=59135&amp;p_tabid=5" TargetMode="External"/><Relationship Id="rId4" Type="http://schemas.openxmlformats.org/officeDocument/2006/relationships/hyperlink" Target="http://www.rvo.at/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omments" Target="../comments10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10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15.bin"/><Relationship Id="rId5" Type="http://schemas.openxmlformats.org/officeDocument/2006/relationships/hyperlink" Target="http://esv-sva.sozvers.at/portal27/portal/svaportal/channel_content/cmsWindow?action=2&amp;p_menuid=59135&amp;p_tabid=5" TargetMode="External"/><Relationship Id="rId4" Type="http://schemas.openxmlformats.org/officeDocument/2006/relationships/hyperlink" Target="http://www.rvo.at/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hyperlink" Target="http://www.rvo.at/" TargetMode="Externa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omments" Target="../comments11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11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17.bin"/><Relationship Id="rId5" Type="http://schemas.openxmlformats.org/officeDocument/2006/relationships/hyperlink" Target="http://esv-sva.sozvers.at/portal27/portal/svaportal/channel_content/cmsWindow?action=2&amp;p_menuid=59135&amp;p_tabid=5" TargetMode="External"/><Relationship Id="rId4" Type="http://schemas.openxmlformats.org/officeDocument/2006/relationships/hyperlink" Target="http://www.rvo.at/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omments" Target="../comments12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12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18.bin"/><Relationship Id="rId5" Type="http://schemas.openxmlformats.org/officeDocument/2006/relationships/hyperlink" Target="http://esv-sva.sozvers.at/portal27/portal/svaportal/channel_content/cmsWindow?action=2&amp;p_menuid=59135&amp;p_tabid=5" TargetMode="External"/><Relationship Id="rId4" Type="http://schemas.openxmlformats.org/officeDocument/2006/relationships/hyperlink" Target="http://www.rvo.at/" TargetMode="Externa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comments" Target="../comments13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13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19.bin"/><Relationship Id="rId5" Type="http://schemas.openxmlformats.org/officeDocument/2006/relationships/hyperlink" Target="http://esv-sva.sozvers.at/portal27/portal/svaportal/channel_content/cmsWindow?action=2&amp;p_menuid=59135&amp;p_tabid=5" TargetMode="External"/><Relationship Id="rId4" Type="http://schemas.openxmlformats.org/officeDocument/2006/relationships/hyperlink" Target="http://www.rvo.at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vo.at/" TargetMode="External"/></Relationships>
</file>

<file path=xl/worksheets/_rels/sheet20.xml.rels><?xml version="1.0" encoding="UTF-8" standalone="yes"?>
<Relationships xmlns="http://schemas.openxmlformats.org/package/2006/relationships"><Relationship Id="rId8" Type="http://schemas.openxmlformats.org/officeDocument/2006/relationships/comments" Target="../comments14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14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20.bin"/><Relationship Id="rId5" Type="http://schemas.openxmlformats.org/officeDocument/2006/relationships/hyperlink" Target="http://esv-sva.sozvers.at/portal27/portal/svaportal/channel_content/cmsWindow?action=2&amp;p_menuid=59135&amp;p_tabid=5" TargetMode="External"/><Relationship Id="rId4" Type="http://schemas.openxmlformats.org/officeDocument/2006/relationships/hyperlink" Target="http://www.rvo.at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5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15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21.bin"/><Relationship Id="rId5" Type="http://schemas.openxmlformats.org/officeDocument/2006/relationships/hyperlink" Target="http://esv-sva.sozvers.at/portal27/portal/svaportal/channel_content/cmsWindow?action=2&amp;p_menuid=59135&amp;p_tabid=5" TargetMode="External"/><Relationship Id="rId4" Type="http://schemas.openxmlformats.org/officeDocument/2006/relationships/hyperlink" Target="http://www.rvo.at/" TargetMode="External"/></Relationships>
</file>

<file path=xl/worksheets/_rels/sheet2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6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16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22.bin"/><Relationship Id="rId5" Type="http://schemas.openxmlformats.org/officeDocument/2006/relationships/hyperlink" Target="http://esv-sva.sozvers.at/portal27/portal/svaportal/channel_content/cmsWindow?action=2&amp;p_menuid=64806&amp;p_tabid=5" TargetMode="External"/><Relationship Id="rId4" Type="http://schemas.openxmlformats.org/officeDocument/2006/relationships/hyperlink" Target="http://www.rvo.at/" TargetMode="External"/></Relationships>
</file>

<file path=xl/worksheets/_rels/sheet23.xml.rels><?xml version="1.0" encoding="UTF-8" standalone="yes"?>
<Relationships xmlns="http://schemas.openxmlformats.org/package/2006/relationships"><Relationship Id="rId8" Type="http://schemas.openxmlformats.org/officeDocument/2006/relationships/comments" Target="../comments17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17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23.bin"/><Relationship Id="rId5" Type="http://schemas.openxmlformats.org/officeDocument/2006/relationships/hyperlink" Target="http://esv-sva.sozvers.at/portal/index.html?ctrl:cmd=render&amp;ctrl:window=svaportal.channel_content.cmsWindow&amp;p_menuid=59135&amp;p_tabid=5" TargetMode="External"/><Relationship Id="rId4" Type="http://schemas.openxmlformats.org/officeDocument/2006/relationships/hyperlink" Target="http://www.rvo.at/" TargetMode="External"/></Relationships>
</file>

<file path=xl/worksheets/_rels/sheet24.xml.rels><?xml version="1.0" encoding="UTF-8" standalone="yes"?>
<Relationships xmlns="http://schemas.openxmlformats.org/package/2006/relationships"><Relationship Id="rId8" Type="http://schemas.openxmlformats.org/officeDocument/2006/relationships/comments" Target="../comments18.xml"/><Relationship Id="rId3" Type="http://schemas.openxmlformats.org/officeDocument/2006/relationships/hyperlink" Target="http://www.rvo.at/" TargetMode="External"/><Relationship Id="rId7" Type="http://schemas.openxmlformats.org/officeDocument/2006/relationships/vmlDrawing" Target="../drawings/vmlDrawing18.v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printerSettings" Target="../printerSettings/printerSettings24.bin"/><Relationship Id="rId5" Type="http://schemas.openxmlformats.org/officeDocument/2006/relationships/hyperlink" Target="http://esv-sva.sozvers.at/portal/index.html?ctrl:cmd=render&amp;ctrl:window=svaportal.channel_content.cmsWindow&amp;p_menuid=59135&amp;p_tabid=5" TargetMode="External"/><Relationship Id="rId4" Type="http://schemas.openxmlformats.org/officeDocument/2006/relationships/hyperlink" Target="http://www.rvo.at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mf.gv.at/" TargetMode="External"/><Relationship Id="rId3" Type="http://schemas.openxmlformats.org/officeDocument/2006/relationships/hyperlink" Target="http://www.rvo.at/" TargetMode="External"/><Relationship Id="rId7" Type="http://schemas.openxmlformats.org/officeDocument/2006/relationships/hyperlink" Target="https://www.bmf.gv.at/" TargetMode="External"/><Relationship Id="rId12" Type="http://schemas.openxmlformats.org/officeDocument/2006/relationships/comments" Target="../comments2.x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hyperlink" Target="https://www.frauen-familien-jugend.bka.gv.at/familie/finanzielle-unterstuetzungen/mehrkindzuschlag.html" TargetMode="External"/><Relationship Id="rId11" Type="http://schemas.openxmlformats.org/officeDocument/2006/relationships/vmlDrawing" Target="../drawings/vmlDrawing2.vml"/><Relationship Id="rId5" Type="http://schemas.openxmlformats.org/officeDocument/2006/relationships/hyperlink" Target="https://www.svs.at/cdscontent/?contentid=10007.816857&amp;portal=svsportal" TargetMode="External"/><Relationship Id="rId10" Type="http://schemas.openxmlformats.org/officeDocument/2006/relationships/printerSettings" Target="../printerSettings/printerSettings3.bin"/><Relationship Id="rId4" Type="http://schemas.openxmlformats.org/officeDocument/2006/relationships/hyperlink" Target="http://www.rvo.at/" TargetMode="External"/><Relationship Id="rId9" Type="http://schemas.openxmlformats.org/officeDocument/2006/relationships/hyperlink" Target="https://www.bmf.gv.at/themen/steuern/arbeitnehmerinnenveranlagung/steuertarif-steuerabsetzbetraege/steuertarif-steuerabsetzbetraege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rvo.at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mf.gv.at/" TargetMode="External"/><Relationship Id="rId3" Type="http://schemas.openxmlformats.org/officeDocument/2006/relationships/hyperlink" Target="http://www.rvo.at/" TargetMode="External"/><Relationship Id="rId7" Type="http://schemas.openxmlformats.org/officeDocument/2006/relationships/hyperlink" Target="https://www.bmf.gv.at/" TargetMode="External"/><Relationship Id="rId12" Type="http://schemas.openxmlformats.org/officeDocument/2006/relationships/comments" Target="../comments3.xm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hyperlink" Target="https://www.frauen-familien-jugend.bka.gv.at/familie/finanzielle-unterstuetzungen/mehrkindzuschlag.html" TargetMode="External"/><Relationship Id="rId11" Type="http://schemas.openxmlformats.org/officeDocument/2006/relationships/vmlDrawing" Target="../drawings/vmlDrawing3.vml"/><Relationship Id="rId5" Type="http://schemas.openxmlformats.org/officeDocument/2006/relationships/hyperlink" Target="https://www.svs.at/cdscontent/?contentid=10007.816857&amp;portal=svsportal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://www.rvo.at/" TargetMode="External"/><Relationship Id="rId9" Type="http://schemas.openxmlformats.org/officeDocument/2006/relationships/hyperlink" Target="https://www.bmf.gv.at/themen/steuern/arbeitnehmerinnenveranlagung/steuertarif-steuerabsetzbetraege/steuertarif-steuerabsetzbetraege.html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rvo.at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.bin"/><Relationship Id="rId3" Type="http://schemas.openxmlformats.org/officeDocument/2006/relationships/hyperlink" Target="http://www.rvo.at/" TargetMode="External"/><Relationship Id="rId7" Type="http://schemas.openxmlformats.org/officeDocument/2006/relationships/hyperlink" Target="https://www.bmf.gv.at/" TargetMode="Externa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hyperlink" Target="https://www.frauen-familien-jugend.bka.gv.at/familie/finanzielle-unterstuetzungen/mehrkindzuschlag.html" TargetMode="External"/><Relationship Id="rId5" Type="http://schemas.openxmlformats.org/officeDocument/2006/relationships/hyperlink" Target="https://www.svs.at/cdscontent/?contentid=10007.816857&amp;portal=svsportal" TargetMode="External"/><Relationship Id="rId10" Type="http://schemas.openxmlformats.org/officeDocument/2006/relationships/comments" Target="../comments4.xml"/><Relationship Id="rId4" Type="http://schemas.openxmlformats.org/officeDocument/2006/relationships/hyperlink" Target="http://www.rvo.at/" TargetMode="External"/><Relationship Id="rId9" Type="http://schemas.openxmlformats.org/officeDocument/2006/relationships/vmlDrawing" Target="../drawings/vmlDrawing4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rvo.at/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3" Type="http://schemas.openxmlformats.org/officeDocument/2006/relationships/hyperlink" Target="http://www.rvo.at/" TargetMode="External"/><Relationship Id="rId7" Type="http://schemas.openxmlformats.org/officeDocument/2006/relationships/hyperlink" Target="https://www.bmf.gv.at/" TargetMode="External"/><Relationship Id="rId2" Type="http://schemas.openxmlformats.org/officeDocument/2006/relationships/hyperlink" Target="http://www.rvo.at/" TargetMode="External"/><Relationship Id="rId1" Type="http://schemas.openxmlformats.org/officeDocument/2006/relationships/hyperlink" Target="http://www.rvo.at/" TargetMode="External"/><Relationship Id="rId6" Type="http://schemas.openxmlformats.org/officeDocument/2006/relationships/hyperlink" Target="https://www.frauen-familien-jugend.bka.gv.at/familie/finanzielle-unterstuetzungen/mehrkindzuschlag.html" TargetMode="External"/><Relationship Id="rId5" Type="http://schemas.openxmlformats.org/officeDocument/2006/relationships/hyperlink" Target="https://www.svs.at/cdscontent/?contentid=10007.816857&amp;portal=svsportal" TargetMode="External"/><Relationship Id="rId10" Type="http://schemas.openxmlformats.org/officeDocument/2006/relationships/comments" Target="../comments5.xml"/><Relationship Id="rId4" Type="http://schemas.openxmlformats.org/officeDocument/2006/relationships/hyperlink" Target="http://www.rvo.at/" TargetMode="External"/><Relationship Id="rId9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3"/>
  <sheetViews>
    <sheetView tabSelected="1"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14.4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133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7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7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7" ht="14.4" customHeight="1" thickTop="1">
      <c r="A35" s="10"/>
      <c r="B35" s="11"/>
      <c r="C35" s="13"/>
      <c r="D35" s="12"/>
      <c r="F35" s="13"/>
    </row>
    <row r="36" spans="1:7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7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7">
        <f>ROUND(SUM(C11,C34),2)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7" ht="12.75" customHeight="1">
      <c r="A38" s="3" t="s">
        <v>161</v>
      </c>
      <c r="B38" s="17">
        <f t="shared" ref="B38:B39" si="4">ROUND(C38/12,2)</f>
        <v>0</v>
      </c>
      <c r="C38" s="45"/>
      <c r="D38" s="49">
        <f>ROUND(C38/C37,3)</f>
        <v>0</v>
      </c>
      <c r="E38" s="124" t="s">
        <v>163</v>
      </c>
      <c r="F38" s="6"/>
      <c r="G38" s="312" t="s">
        <v>146</v>
      </c>
    </row>
    <row r="39" spans="1:7" ht="12.75" customHeight="1">
      <c r="A39" s="3" t="s">
        <v>162</v>
      </c>
      <c r="B39" s="17">
        <f t="shared" si="4"/>
        <v>0</v>
      </c>
      <c r="C39" s="45"/>
      <c r="D39" s="49">
        <f>ROUND(C39/C37,3)</f>
        <v>0</v>
      </c>
      <c r="E39" s="124" t="s">
        <v>164</v>
      </c>
      <c r="F39" s="6"/>
    </row>
    <row r="40" spans="1:7" ht="12.75" customHeight="1">
      <c r="A40" s="32" t="s">
        <v>165</v>
      </c>
      <c r="B40" s="309">
        <f>ROUND(SUM(B37:B39),2)</f>
        <v>2320</v>
      </c>
      <c r="C40" s="309">
        <f>ROUND(SUM(C37:C39),2)</f>
        <v>27840</v>
      </c>
      <c r="D40" s="48">
        <f>SUM(D37:D39)</f>
        <v>1</v>
      </c>
      <c r="E40" s="310"/>
      <c r="F40" s="311"/>
    </row>
    <row r="41" spans="1:7">
      <c r="A41" s="16" t="s">
        <v>179</v>
      </c>
      <c r="B41" s="17">
        <f>ROUND(C41/12,2)</f>
        <v>-348</v>
      </c>
      <c r="C41" s="126">
        <f>ROUNDDOWN((MIN(MAX(-4950,C40*D41),0)),2)</f>
        <v>-4176</v>
      </c>
      <c r="D41" s="316">
        <v>-0.15</v>
      </c>
      <c r="E41" s="6"/>
      <c r="F41" s="6"/>
    </row>
    <row r="42" spans="1:7">
      <c r="A42" s="16" t="s">
        <v>96</v>
      </c>
      <c r="B42" s="17">
        <f>ROUND(C42/12,2)</f>
        <v>0</v>
      </c>
      <c r="C42" s="45"/>
      <c r="D42" s="49">
        <f>ROUND(C42/C37,3)</f>
        <v>0</v>
      </c>
      <c r="E42" s="130" t="str">
        <f>CONCATENATE("  max .. ",ROUND(IF(C40&lt;33000,0,IF(C40&lt;178000,C40*0.13-4290,IF(C40&lt;353000,(C40-178000)*0.07+18850,IF(C40&lt;583000,(C40-353000)*0.045+31100,41450)))),2))</f>
        <v xml:space="preserve">  max .. 0</v>
      </c>
      <c r="F42" s="30"/>
    </row>
    <row r="43" spans="1:7">
      <c r="A43" s="16" t="s">
        <v>132</v>
      </c>
      <c r="B43" s="17">
        <f>B31*-1</f>
        <v>680</v>
      </c>
      <c r="C43" s="18">
        <f>ROUND(B43*12,2)</f>
        <v>8160</v>
      </c>
      <c r="D43" s="49">
        <f>ROUND(C43/C37,3)</f>
        <v>0.29299999999999998</v>
      </c>
      <c r="E43" s="6"/>
      <c r="F43" s="6"/>
    </row>
    <row r="44" spans="1:7" outlineLevel="1">
      <c r="A44" s="32" t="s">
        <v>42</v>
      </c>
      <c r="B44" s="47">
        <f>SUM(B40:B43)</f>
        <v>2652</v>
      </c>
      <c r="C44" s="47">
        <f>SUM(C40:C43)</f>
        <v>31824</v>
      </c>
      <c r="D44" s="48">
        <f>ROUND(C44/C37,3)</f>
        <v>1.143</v>
      </c>
      <c r="E44" s="31"/>
      <c r="F44" s="33"/>
    </row>
    <row r="45" spans="1:7" outlineLevel="1">
      <c r="A45" s="117" t="s">
        <v>77</v>
      </c>
      <c r="B45" s="43">
        <v>-12.07</v>
      </c>
      <c r="C45" s="52">
        <f>ROUND(B45*12,2)</f>
        <v>-144.84</v>
      </c>
      <c r="D45" s="322" t="s">
        <v>43</v>
      </c>
      <c r="E45" s="322"/>
      <c r="F45" s="322"/>
      <c r="G45" s="116" t="s">
        <v>74</v>
      </c>
    </row>
    <row r="46" spans="1:7" outlineLevel="1">
      <c r="A46" s="118" t="s">
        <v>78</v>
      </c>
      <c r="B46" s="52">
        <f>IF(B$44&lt;E46,E46*D46,IF(B$44&gt;F46,F46*D46,B$44*D46))</f>
        <v>-490.62</v>
      </c>
      <c r="C46" s="52">
        <f>B46*12</f>
        <v>-5887.4400000000005</v>
      </c>
      <c r="D46" s="69">
        <v>-0.185</v>
      </c>
      <c r="E46" s="44">
        <v>551.1</v>
      </c>
      <c r="F46" s="119">
        <v>7525</v>
      </c>
      <c r="G46" s="301" t="s">
        <v>128</v>
      </c>
    </row>
    <row r="47" spans="1:7" ht="13.2" outlineLevel="1">
      <c r="A47" s="117" t="s">
        <v>79</v>
      </c>
      <c r="B47" s="52">
        <f>IF(B$44&lt;E47,E47*D47,IF(B$44&gt;F47,F47*D47,B$44*D47))</f>
        <v>-180.33600000000001</v>
      </c>
      <c r="C47" s="52">
        <f>B47*12</f>
        <v>-2164.0320000000002</v>
      </c>
      <c r="D47" s="69">
        <v>-6.8000000000000005E-2</v>
      </c>
      <c r="E47" s="44">
        <v>551.1</v>
      </c>
      <c r="F47" s="119">
        <v>7525</v>
      </c>
      <c r="G47" s="115"/>
    </row>
    <row r="48" spans="1:7" ht="13.2" outlineLevel="1">
      <c r="A48" s="117" t="s">
        <v>97</v>
      </c>
      <c r="B48" s="52">
        <f>IF(B$44&lt;E48,E48*D48,IF(B$44&gt;F48,F48*D48,B$44*D48))</f>
        <v>-58.302791999999997</v>
      </c>
      <c r="C48" s="52">
        <f>B48*12</f>
        <v>-699.6335039999999</v>
      </c>
      <c r="D48" s="69">
        <v>-1.5299999999999999E-2</v>
      </c>
      <c r="E48" s="44">
        <v>3810.64</v>
      </c>
      <c r="F48" s="119">
        <v>3810.64</v>
      </c>
      <c r="G48" s="115"/>
    </row>
    <row r="49" spans="1:9" outlineLevel="1">
      <c r="A49" s="118" t="s">
        <v>98</v>
      </c>
      <c r="B49" s="52">
        <f>IF(B$44&lt;E49,E49*D49,IF(B$44&gt;F49,F49*D49,B$44*D49))</f>
        <v>-228.63839999999999</v>
      </c>
      <c r="C49" s="52">
        <f>B49*12</f>
        <v>-2743.6607999999997</v>
      </c>
      <c r="D49" s="69">
        <v>-0.06</v>
      </c>
      <c r="E49" s="44">
        <v>3810.64</v>
      </c>
      <c r="F49" s="119">
        <v>3810.64</v>
      </c>
    </row>
    <row r="50" spans="1:9">
      <c r="A50" s="32" t="s">
        <v>7</v>
      </c>
      <c r="B50" s="47">
        <f>ROUND(SUM(B45:B49),2)</f>
        <v>-969.97</v>
      </c>
      <c r="C50" s="47">
        <f>ROUND(SUM(C45:C49),2)</f>
        <v>-11639.61</v>
      </c>
      <c r="D50" s="48">
        <f>ROUND(C50/C37,3)</f>
        <v>-0.41799999999999998</v>
      </c>
      <c r="E50" s="33"/>
      <c r="F50" s="33"/>
    </row>
    <row r="51" spans="1:9" ht="13.5" customHeight="1">
      <c r="A51" s="70" t="s">
        <v>45</v>
      </c>
      <c r="B51" s="50">
        <f>SUM(B44,B50)</f>
        <v>1682.03</v>
      </c>
      <c r="C51" s="50">
        <f>SUM(C44,C50)</f>
        <v>20184.39</v>
      </c>
      <c r="D51" s="51">
        <f>ROUND(C51/C37,3)</f>
        <v>0.72499999999999998</v>
      </c>
      <c r="E51" s="71" t="s">
        <v>46</v>
      </c>
      <c r="F51" s="71" t="s">
        <v>47</v>
      </c>
      <c r="I51" s="15"/>
    </row>
    <row r="52" spans="1:9" hidden="1">
      <c r="A52" s="308" t="s">
        <v>160</v>
      </c>
      <c r="B52" s="73"/>
      <c r="C52" s="74">
        <v>0</v>
      </c>
      <c r="D52" s="3"/>
      <c r="E52" s="75"/>
      <c r="F52" s="76">
        <v>0</v>
      </c>
      <c r="I52" s="15"/>
    </row>
    <row r="53" spans="1:9" ht="13.2" customHeight="1">
      <c r="A53" s="19" t="s">
        <v>166</v>
      </c>
      <c r="B53" s="19"/>
      <c r="C53" s="45"/>
      <c r="D53" s="16"/>
      <c r="E53" s="120"/>
      <c r="F53" s="21"/>
      <c r="G53" s="312" t="s">
        <v>146</v>
      </c>
      <c r="I53" s="15"/>
    </row>
    <row r="54" spans="1:9" hidden="1" outlineLevel="1">
      <c r="A54" s="19" t="s">
        <v>124</v>
      </c>
      <c r="B54" s="19"/>
      <c r="C54" s="74"/>
      <c r="D54" s="16"/>
      <c r="E54" s="120"/>
      <c r="F54" s="21"/>
      <c r="H54" s="15"/>
      <c r="I54" s="15"/>
    </row>
    <row r="55" spans="1:9" collapsed="1">
      <c r="A55" s="79" t="s">
        <v>50</v>
      </c>
      <c r="B55" s="79"/>
      <c r="C55" s="80">
        <f>ROUND(IF(SUM(C51:C54)&lt;0,0,SUM(C51:C54)),2)</f>
        <v>20184.39</v>
      </c>
      <c r="D55" s="81"/>
      <c r="E55" s="82"/>
      <c r="F55" s="83">
        <f>ROUND(IF(C55&gt;36400,0.12,IF(C55&gt;14600,0.1,IF(C55&gt;7300,0.08,0.06)))-SUM(B71/100,B72/100),3)</f>
        <v>0.1</v>
      </c>
      <c r="G55" s="103"/>
      <c r="H55" s="15"/>
      <c r="I55" s="15"/>
    </row>
    <row r="56" spans="1:9" ht="13.5" customHeight="1">
      <c r="A56" s="84" t="str">
        <f>CONCATENATE("außergew. Belastungen ",F55*-100,"% Selbstbehalt")</f>
        <v>außergew. Belastungen -10% Selbstbehalt</v>
      </c>
      <c r="B56" s="84"/>
      <c r="C56" s="74">
        <f>ROUND(IF(E56&lt;F56,0,(E56-F56)*-1),2)</f>
        <v>0</v>
      </c>
      <c r="D56" s="3"/>
      <c r="E56" s="75"/>
      <c r="F56" s="76">
        <f>ROUND(C55*F55,2)</f>
        <v>2018.44</v>
      </c>
      <c r="G56" s="103"/>
      <c r="H56" s="173"/>
      <c r="I56" s="15"/>
    </row>
    <row r="57" spans="1:9" ht="13.5" customHeight="1">
      <c r="A57" s="22" t="s">
        <v>51</v>
      </c>
      <c r="B57" s="22"/>
      <c r="C57" s="46"/>
      <c r="D57" s="22"/>
      <c r="E57" s="121"/>
      <c r="F57" s="24"/>
      <c r="G57" s="103"/>
      <c r="H57" s="15"/>
      <c r="I57" s="15"/>
    </row>
    <row r="58" spans="1:9" s="20" customFormat="1" ht="12">
      <c r="A58" s="70" t="s">
        <v>195</v>
      </c>
      <c r="B58" s="86">
        <v>1</v>
      </c>
      <c r="C58" s="80">
        <f>ROUND(IF(SUM(C55:C57)&lt;0,0,SUM(C55:C57)),2)</f>
        <v>20184.39</v>
      </c>
      <c r="E58" s="87">
        <f>F58/C58</f>
        <v>-6.8135821790997891E-2</v>
      </c>
      <c r="F58" s="23">
        <f>ROUND(SUM(D60:D66),2)</f>
        <v>-1375.28</v>
      </c>
      <c r="G58" s="315" t="s">
        <v>146</v>
      </c>
      <c r="H58" s="23"/>
    </row>
    <row r="59" spans="1:9" s="20" customFormat="1" ht="3" customHeight="1">
      <c r="A59" s="70"/>
      <c r="B59" s="86"/>
      <c r="C59" s="74"/>
      <c r="E59" s="87"/>
      <c r="F59" s="23"/>
      <c r="G59" s="103"/>
      <c r="H59" s="23"/>
    </row>
    <row r="60" spans="1:9" s="20" customFormat="1">
      <c r="A60" s="131">
        <v>13308</v>
      </c>
      <c r="B60" s="306">
        <v>0</v>
      </c>
      <c r="C60" s="134">
        <f>IF($C$58&gt;A60,A60,$C$58)</f>
        <v>13308</v>
      </c>
      <c r="D60" s="135">
        <f t="shared" ref="D60:D66" si="5">ROUND(B60*C60,4)</f>
        <v>0</v>
      </c>
      <c r="F60" s="23"/>
      <c r="G60" s="170"/>
      <c r="H60" s="23"/>
    </row>
    <row r="61" spans="1:9" s="20" customFormat="1">
      <c r="A61" s="131">
        <v>21617</v>
      </c>
      <c r="B61" s="306">
        <v>-0.2</v>
      </c>
      <c r="C61" s="134">
        <f>IF($C$58&gt;A61,A61-A60,$C$58-C60)</f>
        <v>6876.3899999999994</v>
      </c>
      <c r="D61" s="135">
        <f t="shared" si="5"/>
        <v>-1375.278</v>
      </c>
      <c r="F61" s="23"/>
      <c r="G61" s="170">
        <f>IF(C61&gt;0,B61,"")</f>
        <v>-0.2</v>
      </c>
      <c r="H61" s="23"/>
    </row>
    <row r="62" spans="1:9" s="20" customFormat="1">
      <c r="A62" s="131">
        <v>35836</v>
      </c>
      <c r="B62" s="306">
        <v>-0.3</v>
      </c>
      <c r="C62" s="134">
        <f>IF($C$58&gt;A62,A62-A61,$C$58-SUM($C$60:C61))</f>
        <v>0</v>
      </c>
      <c r="D62" s="135">
        <f t="shared" si="5"/>
        <v>0</v>
      </c>
      <c r="F62" s="23"/>
      <c r="G62" s="170" t="str">
        <f>IF(C62&gt;0,B62-B61,"")</f>
        <v/>
      </c>
      <c r="H62" s="23"/>
    </row>
    <row r="63" spans="1:9" s="20" customFormat="1">
      <c r="A63" s="131">
        <v>69166</v>
      </c>
      <c r="B63" s="306">
        <v>-0.4</v>
      </c>
      <c r="C63" s="134">
        <f>IF($C$58&gt;A63,A63-A62,$C$58-SUM($C$60:C62))</f>
        <v>0</v>
      </c>
      <c r="D63" s="135">
        <f t="shared" si="5"/>
        <v>0</v>
      </c>
      <c r="F63" s="23"/>
      <c r="G63" s="170" t="str">
        <f t="shared" ref="G63:G66" si="6">IF(C63&gt;0,B63-B62,"")</f>
        <v/>
      </c>
      <c r="H63" s="23"/>
    </row>
    <row r="64" spans="1:9" s="20" customFormat="1">
      <c r="A64" s="131">
        <v>103072</v>
      </c>
      <c r="B64" s="306">
        <v>-0.48</v>
      </c>
      <c r="C64" s="134">
        <f>IF($C$58&gt;A64,A64-A63,$C$58-SUM($C$60:C63))</f>
        <v>0</v>
      </c>
      <c r="D64" s="135">
        <f t="shared" si="5"/>
        <v>0</v>
      </c>
      <c r="F64" s="23"/>
      <c r="G64" s="170" t="str">
        <f t="shared" si="6"/>
        <v/>
      </c>
      <c r="H64" s="23"/>
    </row>
    <row r="65" spans="1:8" s="20" customFormat="1">
      <c r="A65" s="131">
        <v>1000000</v>
      </c>
      <c r="B65" s="306">
        <v>-0.5</v>
      </c>
      <c r="C65" s="134">
        <f>IF($C$58&gt;A65,A65-A64,$C$58-SUM($C$60:C64))</f>
        <v>0</v>
      </c>
      <c r="D65" s="135">
        <f t="shared" si="5"/>
        <v>0</v>
      </c>
      <c r="F65" s="23"/>
      <c r="G65" s="170" t="str">
        <f t="shared" si="6"/>
        <v/>
      </c>
      <c r="H65" s="23"/>
    </row>
    <row r="66" spans="1:8" s="20" customFormat="1">
      <c r="A66" s="133"/>
      <c r="B66" s="306">
        <v>-0.55000000000000004</v>
      </c>
      <c r="C66" s="134">
        <f>$C$58-SUM($C$60:C65)</f>
        <v>0</v>
      </c>
      <c r="D66" s="135">
        <f t="shared" si="5"/>
        <v>0</v>
      </c>
      <c r="F66" s="23"/>
      <c r="G66" s="170" t="str">
        <f t="shared" si="6"/>
        <v/>
      </c>
      <c r="H66" s="23"/>
    </row>
    <row r="67" spans="1:8" s="20" customFormat="1" ht="1.8" customHeight="1">
      <c r="A67" s="70"/>
      <c r="B67" s="86"/>
      <c r="C67" s="74"/>
      <c r="E67" s="87"/>
      <c r="F67" s="23"/>
      <c r="G67" s="103"/>
      <c r="H67" s="23"/>
    </row>
    <row r="68" spans="1:8" s="20" customFormat="1">
      <c r="A68" s="64" t="s">
        <v>171</v>
      </c>
      <c r="B68" s="88">
        <v>0</v>
      </c>
      <c r="C68" s="74"/>
      <c r="E68" s="87">
        <f t="shared" ref="E68:E71" si="7">F68/C$58</f>
        <v>0</v>
      </c>
      <c r="F68" s="90"/>
      <c r="G68" s="103"/>
      <c r="H68" s="173"/>
    </row>
    <row r="69" spans="1:8" s="20" customFormat="1">
      <c r="A69" s="64" t="s">
        <v>172</v>
      </c>
      <c r="B69" s="88">
        <v>0</v>
      </c>
      <c r="C69" s="74"/>
      <c r="E69" s="87">
        <f t="shared" si="7"/>
        <v>0</v>
      </c>
      <c r="F69" s="90"/>
      <c r="G69" s="103"/>
      <c r="H69" s="23"/>
    </row>
    <row r="70" spans="1:8" s="20" customFormat="1" hidden="1">
      <c r="A70" s="174" t="s">
        <v>53</v>
      </c>
      <c r="B70" s="86"/>
      <c r="C70" s="74"/>
      <c r="E70" s="87"/>
      <c r="F70" s="74">
        <f>ROUND(IF(SUM(F58,F68)&gt;0,F69,SUM(F58,F68:F69)),2)</f>
        <v>-1375.28</v>
      </c>
      <c r="G70" s="103"/>
      <c r="H70" s="23"/>
    </row>
    <row r="71" spans="1:8" s="20" customFormat="1">
      <c r="A71" s="64" t="s">
        <v>8</v>
      </c>
      <c r="B71" s="313"/>
      <c r="C71" s="124" t="s">
        <v>167</v>
      </c>
      <c r="E71" s="87">
        <f t="shared" si="7"/>
        <v>0</v>
      </c>
      <c r="F71" s="74">
        <f>IF(ISBLANK(B71),0,IF(B71=1,601,IF(B71=2,813,1081)))</f>
        <v>0</v>
      </c>
      <c r="G71" s="72" t="str">
        <f>IF(B71&gt;2,"MKZ","")</f>
        <v/>
      </c>
      <c r="H71" s="176" t="str">
        <f>IF(G71="MKZ","Info zum Mehrkindzuschlag (MKZ) seit 2011","")</f>
        <v/>
      </c>
    </row>
    <row r="72" spans="1:8" s="20" customFormat="1">
      <c r="A72" s="19" t="s">
        <v>52</v>
      </c>
      <c r="B72" s="313"/>
      <c r="C72" s="314" t="s">
        <v>168</v>
      </c>
      <c r="D72" s="19"/>
      <c r="E72" s="87">
        <f>F72/C$58</f>
        <v>0</v>
      </c>
      <c r="F72" s="328">
        <f>IF(ISBLANK(B72),0,B72*268)</f>
        <v>0</v>
      </c>
      <c r="G72" s="77"/>
    </row>
    <row r="73" spans="1:8" s="20" customFormat="1" ht="11.4" customHeight="1">
      <c r="A73" s="79" t="s">
        <v>53</v>
      </c>
      <c r="B73" s="79"/>
      <c r="C73" s="80"/>
      <c r="D73" s="79"/>
      <c r="E73" s="91"/>
      <c r="F73" s="80">
        <f>ROUND(SUM(F70:F72),2)</f>
        <v>-1375.28</v>
      </c>
      <c r="G73" s="100" t="str">
        <f>IF(G72="inkl. MKZ für",IF(ISBLANK(G74),ROUND((SUM(B71,B72)-2)*12,0),""),"")</f>
        <v/>
      </c>
    </row>
    <row r="74" spans="1:8" s="20" customFormat="1" ht="12.6" customHeight="1">
      <c r="A74" s="25" t="s">
        <v>54</v>
      </c>
      <c r="B74" s="92">
        <f>IF(F74&gt;0,1,0)</f>
        <v>0</v>
      </c>
      <c r="C74" s="74"/>
      <c r="E74" s="87">
        <f>F74/C$58</f>
        <v>0</v>
      </c>
      <c r="F74" s="90"/>
      <c r="G74" s="102"/>
      <c r="H74" s="173"/>
    </row>
    <row r="75" spans="1:8" s="20" customFormat="1">
      <c r="A75" s="93" t="str">
        <f>IF(F75&lt;=0,"Einkommensteuer (ESt) des Jahres","ESt-Gutschrift aus Negativsteuer")</f>
        <v>Einkommensteuer (ESt) des Jahres</v>
      </c>
      <c r="B75" s="93"/>
      <c r="C75" s="80">
        <f>F75</f>
        <v>-1375</v>
      </c>
      <c r="D75" s="51">
        <f>ROUND(C75/C37,3)</f>
        <v>-4.9000000000000002E-2</v>
      </c>
      <c r="E75" s="91">
        <f>SUM(E58:E74)</f>
        <v>-6.8135821790997891E-2</v>
      </c>
      <c r="F75" s="80">
        <f>ROUND(IF(F73&gt;0,F73,IF(SUM(F73:F74)&gt;0,0,SUM(F73:F74))),0)</f>
        <v>-1375</v>
      </c>
      <c r="G75" s="74" t="str">
        <f>IF(G72="inkl. MKZ für",IF(B71&gt;2,IF(ISBLANK(G74),ROUND(G73*24.4,2),ROUND(G74*24.4,2)),""),"")</f>
        <v/>
      </c>
    </row>
    <row r="76" spans="1:8" s="20" customFormat="1" ht="13.5" customHeight="1" thickBot="1">
      <c r="A76" s="94" t="s">
        <v>186</v>
      </c>
      <c r="B76" s="95"/>
      <c r="C76" s="96">
        <f>SUM(C58,C75)</f>
        <v>18809.39</v>
      </c>
      <c r="D76" s="122">
        <f>ROUND(C76/C37,3)</f>
        <v>0.67600000000000005</v>
      </c>
      <c r="E76" s="323" t="str">
        <f>IF(C58&lt;=A60,"",CONCATENATE(" (Grenzsteuersatz .. ",SUM(G61:G66)*-100," %)"))</f>
        <v xml:space="preserve"> (Grenzsteuersatz .. 20 %)</v>
      </c>
      <c r="F76" s="323"/>
    </row>
    <row r="77" spans="1:8" s="20" customFormat="1" ht="29.25" customHeight="1" thickTop="1">
      <c r="A77" s="26"/>
      <c r="B77" s="26"/>
      <c r="C77" s="27"/>
      <c r="D77" s="27"/>
      <c r="E77" s="27"/>
      <c r="F77" s="39"/>
    </row>
    <row r="78" spans="1:8" ht="12">
      <c r="A78" s="1" t="s">
        <v>63</v>
      </c>
      <c r="B78" s="2" t="s">
        <v>0</v>
      </c>
      <c r="C78" s="2" t="s">
        <v>1</v>
      </c>
      <c r="D78" s="34" t="s">
        <v>4</v>
      </c>
      <c r="E78" s="35"/>
      <c r="F78" s="104" t="s">
        <v>58</v>
      </c>
    </row>
    <row r="79" spans="1:8">
      <c r="A79" s="4" t="s">
        <v>5</v>
      </c>
      <c r="B79" s="53">
        <f>ROUND(B11,2)</f>
        <v>3000</v>
      </c>
      <c r="C79" s="18">
        <f>B79*12</f>
        <v>36000</v>
      </c>
      <c r="D79" s="57">
        <v>1</v>
      </c>
    </row>
    <row r="80" spans="1:8">
      <c r="A80" s="4" t="s">
        <v>92</v>
      </c>
      <c r="B80" s="54">
        <f>ROUND(SUM(B14:B16,B18:B23,B25:B30,B32:B33),2)</f>
        <v>0</v>
      </c>
      <c r="C80" s="18">
        <f>B80*12</f>
        <v>0</v>
      </c>
      <c r="D80" s="57">
        <f>ROUND(B80/B79,3)</f>
        <v>0</v>
      </c>
    </row>
    <row r="81" spans="1:6">
      <c r="A81" s="16" t="s">
        <v>7</v>
      </c>
      <c r="B81" s="53">
        <f>ROUND(B50,2)</f>
        <v>-969.97</v>
      </c>
      <c r="C81" s="18">
        <f>B81*12</f>
        <v>-11639.64</v>
      </c>
      <c r="D81" s="57">
        <f>ROUND(B81/B79,3)</f>
        <v>-0.32300000000000001</v>
      </c>
      <c r="E81" s="123" t="str">
        <f>CONCATENATE(" (davon  ",ROUND(SUM(C43,C81),2)," Nachforderung)")</f>
        <v xml:space="preserve"> (davon  -3479,64 Nachforderung)</v>
      </c>
    </row>
    <row r="82" spans="1:6">
      <c r="A82" s="4" t="s">
        <v>187</v>
      </c>
      <c r="B82" s="53">
        <f>ROUND(C75/12,2)</f>
        <v>-114.58</v>
      </c>
      <c r="C82" s="18">
        <f>B82*12</f>
        <v>-1374.96</v>
      </c>
      <c r="D82" s="57">
        <f>ROUND(B82/B79,3)</f>
        <v>-3.7999999999999999E-2</v>
      </c>
    </row>
    <row r="83" spans="1:6" ht="12" thickBot="1">
      <c r="A83" s="8" t="s">
        <v>55</v>
      </c>
      <c r="B83" s="55">
        <f>ROUND(SUM(B79:B82),2)</f>
        <v>1915.45</v>
      </c>
      <c r="C83" s="28">
        <f>B83*12</f>
        <v>22985.4</v>
      </c>
      <c r="D83" s="58">
        <f>ROUND(B83/B79,4)</f>
        <v>0.63849999999999996</v>
      </c>
      <c r="E83" s="38"/>
      <c r="F83" s="37"/>
    </row>
    <row r="84" spans="1:6" ht="12.6" thickTop="1" thickBot="1">
      <c r="A84" s="29" t="s">
        <v>56</v>
      </c>
      <c r="B84" s="56">
        <f>ROUND(B83*12/14,2)</f>
        <v>1641.81</v>
      </c>
      <c r="C84" s="97"/>
      <c r="D84" s="98"/>
      <c r="E84" s="99"/>
      <c r="F84" s="99"/>
    </row>
    <row r="85" spans="1:6" s="20" customFormat="1" ht="25.5" customHeight="1" thickTop="1">
      <c r="A85" s="26"/>
      <c r="B85" s="26"/>
      <c r="C85" s="27"/>
      <c r="D85" s="27"/>
      <c r="E85" s="27"/>
      <c r="F85" s="39"/>
    </row>
    <row r="86" spans="1:6" ht="13.2">
      <c r="A86" s="108" t="s">
        <v>64</v>
      </c>
      <c r="B86" s="2" t="s">
        <v>0</v>
      </c>
      <c r="C86" s="2" t="s">
        <v>1</v>
      </c>
      <c r="D86" s="34"/>
      <c r="E86" s="35"/>
      <c r="F86" s="104" t="s">
        <v>58</v>
      </c>
    </row>
    <row r="87" spans="1:6" ht="13.5" customHeight="1">
      <c r="A87" s="20" t="s">
        <v>59</v>
      </c>
      <c r="B87" s="105">
        <f>C87/12</f>
        <v>2030.0325</v>
      </c>
      <c r="C87" s="105">
        <f>C11+C34+C50-C17-C31-C33</f>
        <v>24360.39</v>
      </c>
    </row>
    <row r="88" spans="1:6">
      <c r="A88" s="20" t="s">
        <v>60</v>
      </c>
      <c r="B88" s="105">
        <f>C88/12</f>
        <v>0</v>
      </c>
      <c r="C88" s="105">
        <f>C33</f>
        <v>0</v>
      </c>
    </row>
    <row r="89" spans="1:6">
      <c r="A89" s="93" t="s">
        <v>61</v>
      </c>
      <c r="B89" s="80">
        <f>SUM(B87:B88)</f>
        <v>2030.0325</v>
      </c>
      <c r="C89" s="80">
        <f>SUM(C87:C88)</f>
        <v>24360.39</v>
      </c>
    </row>
    <row r="90" spans="1:6">
      <c r="A90" s="20" t="s">
        <v>62</v>
      </c>
      <c r="B90" s="105">
        <f>C90/12</f>
        <v>0</v>
      </c>
      <c r="C90" s="105">
        <f>C17</f>
        <v>0</v>
      </c>
    </row>
    <row r="91" spans="1:6" ht="12" thickBot="1">
      <c r="A91" s="106" t="str">
        <f>IF(C91&lt;0,"   V e r l u s t","   G e w i n n   ( Überschuß)")</f>
        <v xml:space="preserve">   G e w i n n   ( Überschuß)</v>
      </c>
      <c r="B91" s="107">
        <f>ROUND(SUM(B89:B90),2)</f>
        <v>2030.03</v>
      </c>
      <c r="C91" s="107">
        <f>ROUND(SUM(C89:C90),2)</f>
        <v>24360.39</v>
      </c>
      <c r="D91" s="109"/>
      <c r="E91" s="37"/>
      <c r="F91" s="37"/>
    </row>
    <row r="92" spans="1:6" s="20" customFormat="1" ht="25.5" customHeight="1" thickTop="1">
      <c r="A92" s="26"/>
      <c r="B92" s="26"/>
      <c r="C92" s="27"/>
      <c r="D92" s="27"/>
      <c r="E92" s="27"/>
      <c r="F92" s="39"/>
    </row>
    <row r="93" spans="1:6" ht="13.2">
      <c r="A93" s="108" t="s">
        <v>65</v>
      </c>
      <c r="B93" s="2" t="s">
        <v>0</v>
      </c>
      <c r="C93" s="2" t="s">
        <v>1</v>
      </c>
      <c r="D93" s="34"/>
      <c r="E93" s="35"/>
      <c r="F93" s="104" t="s">
        <v>58</v>
      </c>
    </row>
    <row r="94" spans="1:6" ht="12.75" customHeight="1">
      <c r="A94" s="4" t="s">
        <v>66</v>
      </c>
      <c r="C94" s="113"/>
    </row>
    <row r="95" spans="1:6">
      <c r="A95" s="110" t="s">
        <v>67</v>
      </c>
      <c r="B95" s="111"/>
      <c r="C95" s="46"/>
    </row>
    <row r="96" spans="1:6" ht="14.25" customHeight="1">
      <c r="A96" s="4" t="s">
        <v>68</v>
      </c>
      <c r="C96" s="18">
        <f>SUM(C94:C95)</f>
        <v>0</v>
      </c>
    </row>
    <row r="97" spans="1:9">
      <c r="A97" s="110" t="s">
        <v>69</v>
      </c>
      <c r="B97" s="111"/>
      <c r="C97" s="46"/>
      <c r="D97" s="114"/>
      <c r="E97" s="112">
        <f>SUM(C96:C97)</f>
        <v>0</v>
      </c>
    </row>
    <row r="98" spans="1:9" ht="17.25" customHeight="1">
      <c r="A98" s="4" t="s">
        <v>70</v>
      </c>
      <c r="B98" s="18">
        <f>C98/12</f>
        <v>1915.45</v>
      </c>
      <c r="C98" s="18">
        <f>C83</f>
        <v>22985.4</v>
      </c>
    </row>
    <row r="99" spans="1:9">
      <c r="A99" s="110" t="s">
        <v>71</v>
      </c>
      <c r="B99" s="46"/>
      <c r="C99" s="112">
        <f>B99*12</f>
        <v>0</v>
      </c>
      <c r="D99" s="114"/>
      <c r="E99" s="112">
        <f>SUM(C98:C99)</f>
        <v>22985.4</v>
      </c>
    </row>
    <row r="100" spans="1:9" ht="13.5" customHeight="1">
      <c r="A100" s="4" t="s">
        <v>72</v>
      </c>
      <c r="B100" s="18">
        <f>C100/12</f>
        <v>0</v>
      </c>
      <c r="C100" s="113"/>
      <c r="E100" s="18">
        <f>C100</f>
        <v>0</v>
      </c>
    </row>
    <row r="101" spans="1:9" ht="15" customHeight="1" thickBot="1">
      <c r="A101" s="106" t="str">
        <f>IF(C101&lt;0,"   U n t e r d e c k u n g   gesamt","   Ü b e r d e c k u n g   gesamt")</f>
        <v xml:space="preserve">   Ü b e r d e c k u n g   gesamt</v>
      </c>
      <c r="B101" s="9"/>
      <c r="C101" s="28">
        <f>SUM(C96:C100)</f>
        <v>22985.4</v>
      </c>
      <c r="D101" s="109"/>
      <c r="E101" s="28">
        <f>SUM(E97:E100)</f>
        <v>22985.4</v>
      </c>
      <c r="F101" s="37"/>
    </row>
    <row r="102" spans="1:9" s="20" customFormat="1" ht="25.5" customHeight="1" thickTop="1">
      <c r="A102" s="26"/>
      <c r="B102" s="26"/>
      <c r="C102" s="27"/>
      <c r="D102" s="27"/>
      <c r="E102" s="27"/>
      <c r="F102" s="39"/>
    </row>
    <row r="103" spans="1:9">
      <c r="C103" s="5"/>
    </row>
    <row r="104" spans="1:9">
      <c r="C104" s="5"/>
    </row>
    <row r="105" spans="1:9">
      <c r="C105" s="5"/>
    </row>
    <row r="106" spans="1:9">
      <c r="C106" s="5"/>
    </row>
    <row r="107" spans="1:9">
      <c r="C107" s="5"/>
    </row>
    <row r="108" spans="1:9">
      <c r="C108" s="5"/>
    </row>
    <row r="109" spans="1:9">
      <c r="C109" s="5"/>
    </row>
    <row r="110" spans="1:9">
      <c r="C110" s="5"/>
    </row>
    <row r="111" spans="1:9">
      <c r="C111" s="5"/>
    </row>
    <row r="112" spans="1:9" s="7" customFormat="1">
      <c r="A112" s="4"/>
      <c r="B112" s="5"/>
      <c r="C112" s="5"/>
      <c r="E112" s="3"/>
      <c r="F112" s="3"/>
      <c r="G112" s="3"/>
      <c r="H112" s="3"/>
      <c r="I112" s="3"/>
    </row>
    <row r="113" spans="1:9" s="7" customFormat="1">
      <c r="A113" s="4"/>
      <c r="B113" s="5"/>
      <c r="C113" s="5"/>
      <c r="E113" s="3"/>
      <c r="F113" s="3"/>
      <c r="G113" s="3"/>
      <c r="H113" s="3"/>
      <c r="I113" s="3"/>
    </row>
    <row r="114" spans="1:9" s="7" customFormat="1">
      <c r="A114" s="4"/>
      <c r="B114" s="5"/>
      <c r="C114" s="5"/>
      <c r="E114" s="3"/>
      <c r="F114" s="3"/>
      <c r="G114" s="3"/>
      <c r="H114" s="3"/>
      <c r="I114" s="3"/>
    </row>
    <row r="115" spans="1:9" s="7" customFormat="1">
      <c r="A115" s="4"/>
      <c r="B115" s="5"/>
      <c r="C115" s="5"/>
      <c r="E115" s="3"/>
      <c r="F115" s="3"/>
      <c r="G115" s="3"/>
      <c r="H115" s="3"/>
      <c r="I115" s="3"/>
    </row>
    <row r="116" spans="1:9" s="7" customFormat="1">
      <c r="A116" s="4"/>
      <c r="B116" s="5"/>
      <c r="C116" s="5"/>
      <c r="E116" s="3"/>
      <c r="F116" s="3"/>
      <c r="G116" s="3"/>
      <c r="H116" s="3"/>
      <c r="I116" s="3"/>
    </row>
    <row r="117" spans="1:9" s="7" customFormat="1">
      <c r="A117" s="4"/>
      <c r="B117" s="5"/>
      <c r="C117" s="5"/>
      <c r="E117" s="3"/>
      <c r="F117" s="3"/>
      <c r="G117" s="3"/>
      <c r="H117" s="3"/>
      <c r="I117" s="3"/>
    </row>
    <row r="118" spans="1:9" s="7" customFormat="1">
      <c r="A118" s="4"/>
      <c r="B118" s="5"/>
      <c r="C118" s="5"/>
      <c r="E118" s="3"/>
      <c r="F118" s="3"/>
      <c r="G118" s="3"/>
      <c r="H118" s="3"/>
      <c r="I118" s="3"/>
    </row>
    <row r="119" spans="1:9" s="7" customFormat="1">
      <c r="A119" s="4"/>
      <c r="B119" s="5"/>
      <c r="C119" s="5"/>
      <c r="E119" s="3"/>
      <c r="F119" s="3"/>
      <c r="G119" s="3"/>
      <c r="H119" s="3"/>
      <c r="I119" s="3"/>
    </row>
    <row r="120" spans="1:9" s="7" customFormat="1">
      <c r="A120" s="4"/>
      <c r="B120" s="5"/>
      <c r="C120" s="5"/>
      <c r="E120" s="3"/>
      <c r="F120" s="3"/>
      <c r="G120" s="3"/>
      <c r="H120" s="3"/>
      <c r="I120" s="3"/>
    </row>
    <row r="121" spans="1:9" s="7" customFormat="1">
      <c r="A121" s="4"/>
      <c r="B121" s="5"/>
      <c r="C121" s="5"/>
      <c r="E121" s="3"/>
      <c r="F121" s="3"/>
      <c r="G121" s="3"/>
      <c r="H121" s="3"/>
      <c r="I121" s="3"/>
    </row>
    <row r="122" spans="1:9" s="7" customFormat="1">
      <c r="A122" s="4"/>
      <c r="B122" s="5"/>
      <c r="C122" s="5"/>
      <c r="E122" s="3"/>
      <c r="F122" s="3"/>
      <c r="G122" s="3"/>
      <c r="H122" s="3"/>
      <c r="I122" s="3"/>
    </row>
    <row r="123" spans="1:9" s="7" customFormat="1">
      <c r="A123" s="4"/>
      <c r="B123" s="5"/>
      <c r="C123" s="5"/>
      <c r="E123" s="3"/>
      <c r="F123" s="3"/>
      <c r="G123" s="3"/>
      <c r="H123" s="3"/>
      <c r="I123" s="3"/>
    </row>
  </sheetData>
  <sheetProtection password="C837" sheet="1" objects="1" scenarios="1" autoFilter="0"/>
  <mergeCells count="4">
    <mergeCell ref="A1:D1"/>
    <mergeCell ref="E1:F1"/>
    <mergeCell ref="D45:F45"/>
    <mergeCell ref="E76:F76"/>
  </mergeCells>
  <conditionalFormatting sqref="G72">
    <cfRule type="expression" dxfId="0" priority="5" stopIfTrue="1">
      <formula>AND(B71&gt;2)</formula>
    </cfRule>
  </conditionalFormatting>
  <conditionalFormatting sqref="G71">
    <cfRule type="expression" dxfId="7" priority="7" stopIfTrue="1">
      <formula>AND(B71&gt;2)</formula>
    </cfRule>
  </conditionalFormatting>
  <conditionalFormatting sqref="G73">
    <cfRule type="expression" dxfId="6" priority="8" stopIfTrue="1">
      <formula>AND(B71&gt;2)</formula>
    </cfRule>
  </conditionalFormatting>
  <conditionalFormatting sqref="E81">
    <cfRule type="expression" dxfId="5" priority="9" stopIfTrue="1">
      <formula>SUM(C43,C81)&lt;0</formula>
    </cfRule>
  </conditionalFormatting>
  <conditionalFormatting sqref="D41">
    <cfRule type="cellIs" dxfId="4" priority="10" stopIfTrue="1" operator="notBetween">
      <formula>0</formula>
      <formula>-0.15</formula>
    </cfRule>
  </conditionalFormatting>
  <conditionalFormatting sqref="F68">
    <cfRule type="expression" dxfId="3" priority="4">
      <formula>AND(SUM($F$58,$F$68)&gt;0)</formula>
    </cfRule>
  </conditionalFormatting>
  <conditionalFormatting sqref="G74">
    <cfRule type="expression" dxfId="2" priority="3" stopIfTrue="1">
      <formula>AND(B71&gt;2)</formula>
    </cfRule>
  </conditionalFormatting>
  <conditionalFormatting sqref="G75">
    <cfRule type="expression" dxfId="1" priority="1" stopIfTrue="1">
      <formula>AND(B71&gt;2)</formula>
    </cfRule>
  </conditionalFormatting>
  <dataValidations count="27">
    <dataValidation type="list" allowBlank="1" showInputMessage="1" showErrorMessage="1" sqref="G74">
      <formula1>"1,2,3,4,5,6,7,8,9,10,11,12,13,14,15,16,17,18,19,20,21,22,23,24,25,26,27,28,29,30,31,32,33,34,35,36,37,38,39,40,41,42,43,44,45,46,47,48,49,50,51,52,53,54,55,56,57,58,59,60,"</formula1>
    </dataValidation>
    <dataValidation operator="equal" allowBlank="1" showInputMessage="1" showErrorMessage="1" errorTitle="RVO zu Absetzbetrag:" error="Wert Null oder 364 gefordert!" sqref="F71"/>
    <dataValidation allowBlank="1" showInputMessage="1" showErrorMessage="1" errorTitle="RVO zu Kinderzuschlag:" error="Eingabe lt. Liste. Die Werte steigen nach Anzahl der Kinder!" sqref="F72"/>
    <dataValidation type="decimal" allowBlank="1" showInputMessage="1" showErrorMessage="1" errorTitle="RVO: Fehler zu UV !!!" error="Die Eingabe erfordert einen negativen Wert!" sqref="C45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C94:C95 B99 B14:B33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5">
      <formula1>-99.99</formula1>
      <formula2>0.01</formula2>
    </dataValidation>
    <dataValidation type="decimal" allowBlank="1" showInputMessage="1" showErrorMessage="1" errorTitle="RVO: Fehler zu Einnahme!" error="Werte zwischen Null und 999.999,- erlaubt!" sqref="C97 B3:B1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7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54">
      <formula1>-3080</formula1>
      <formula2>0</formula2>
    </dataValidation>
    <dataValidation type="decimal" allowBlank="1" showInputMessage="1" showErrorMessage="1" errorTitle="RVO zu Ist-Werte AB" error="Die Eingabe erlaubt einen positiven Wert von 0 bis 40.000!" sqref="E56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52:E53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74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72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9">
      <formula1>0</formula1>
    </dataValidation>
    <dataValidation type="decimal" operator="lessThanOrEqual" allowBlank="1" showInputMessage="1" showErrorMessage="1" errorTitle="RVO: Fehler zu KV!" error="Die Eingabe ist auf einen negativen Wert beschränkt!" sqref="D47">
      <formula1>0</formula1>
    </dataValidation>
    <dataValidation type="decimal" operator="lessThanOrEqual" allowBlank="1" showInputMessage="1" showErrorMessage="1" errorTitle="RVO: Fehler zu PV!" error="Die Eingabe ist auf einen negativen Wert beschränkt!" sqref="D46">
      <formula1>0</formula1>
    </dataValidation>
    <dataValidation type="decimal" operator="lessThanOrEqual" allowBlank="1" showInputMessage="1" showErrorMessage="1" errorTitle="RVO: Fehler zu Afg!" error="Die Eingabe ist auf einen negativen Wert beschränkt!" sqref="D48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6:F49">
      <formula1>0</formula1>
    </dataValidation>
    <dataValidation type="decimal" allowBlank="1" showInputMessage="1" showErrorMessage="1" errorTitle="RVO: Fehler zu FBiG!" error="Nur negative Werte erlaubt!_x000a_GFB total max 13% d. Gewinns!" sqref="C42">
      <formula1>(C37-30000)*-0.13</formula1>
      <formula2>0</formula2>
    </dataValidation>
    <dataValidation type="decimal" allowBlank="1" showInputMessage="1" showErrorMessage="1" errorTitle="RVO: Fehler zu Grundfreibetrag!" error="Nur negative Werte bis Min -3.900,- erlaubt!" sqref="C41">
      <formula1>-4950</formula1>
      <formula2>0</formula2>
    </dataValidation>
    <dataValidation type="decimal" allowBlank="1" showInputMessage="1" showErrorMessage="1" sqref="F68">
      <formula1>0</formula1>
      <formula2>14999</formula2>
    </dataValidation>
    <dataValidation type="decimal" allowBlank="1" showInputMessage="1" showErrorMessage="1" sqref="F69">
      <formula1>0</formula1>
      <formula2>2499</formula2>
    </dataValidation>
    <dataValidation type="decimal" allowBlank="1" showInputMessage="1" showErrorMessage="1" errorTitle="Eingabefehler zu IFB 10%" error="Eingaben von -,- bis (Minus) -100.000,- möglich!" sqref="C38">
      <formula1>-100000</formula1>
      <formula2>0</formula2>
    </dataValidation>
    <dataValidation type="decimal" allowBlank="1" showInputMessage="1" showErrorMessage="1" errorTitle="Eingabefehler zu IFB 15%" error="Eingaben von -,- bis (Minus) -150.000,- möglich!" sqref="C39">
      <formula1>-150000</formula1>
      <formula2>0</formula2>
    </dataValidation>
    <dataValidation type="list" allowBlank="1" showInputMessage="1" showErrorMessage="1" sqref="B71">
      <formula1>"1,2,3"</formula1>
    </dataValidation>
    <dataValidation type="whole" allowBlank="1" showInputMessage="1" showErrorMessage="1" sqref="B72">
      <formula1>0</formula1>
      <formula2>15</formula2>
    </dataValidation>
    <dataValidation type="list" allowBlank="1" showInputMessage="1" showErrorMessage="1" sqref="D41">
      <mc:AlternateContent xmlns:x12ac="http://schemas.microsoft.com/office/spreadsheetml/2011/1/ac" xmlns:mc="http://schemas.openxmlformats.org/markup-compatibility/2006">
        <mc:Choice Requires="x12ac">
          <x12ac:list>"-0,15",0</x12ac:list>
        </mc:Choice>
        <mc:Fallback>
          <formula1>"-0,15,0"</formula1>
        </mc:Fallback>
      </mc:AlternateContent>
    </dataValidation>
  </dataValidations>
  <hyperlinks>
    <hyperlink ref="F36" r:id="rId1" display="www.rvo.at"/>
    <hyperlink ref="F78" r:id="rId2" display="www.rvo.at"/>
    <hyperlink ref="F86" r:id="rId3" display="www.rvo.at"/>
    <hyperlink ref="F93" r:id="rId4" display="www.rvo.at"/>
    <hyperlink ref="G46" r:id="rId5"/>
    <hyperlink ref="H71" r:id="rId6" display="https://www.frauen-familien-jugend.bka.gv.at/familie/finanzielle-unterstuetzungen/mehrkindzuschlag.html"/>
    <hyperlink ref="G53" r:id="rId7"/>
    <hyperlink ref="G38" r:id="rId8"/>
    <hyperlink ref="G58" r:id="rId9"/>
  </hyperlinks>
  <printOptions horizontalCentered="1" gridLines="1"/>
  <pageMargins left="0.35433070866141736" right="0.19685039370078741" top="0.47244094488188981" bottom="0.47244094488188981" header="0.23622047244094491" footer="0.23622047244094491"/>
  <pageSetup paperSize="9" scale="95" orientation="portrait" r:id="rId10"/>
  <headerFooter alignWithMargins="0">
    <oddHeader>&amp;L&amp;8&amp;F&amp;C&amp;8&amp;A&amp;R&amp;8&amp;D</oddHeader>
    <oddFooter>&amp;L&amp;8copyright © www.rvo.at</oddFooter>
  </headerFooter>
  <legacyDrawing r:id="rId1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0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14.4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133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14.4" customHeight="1" thickTop="1">
      <c r="A35" s="10"/>
      <c r="B35" s="11"/>
      <c r="C35" s="13"/>
      <c r="D35" s="12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30"/>
    </row>
    <row r="40" spans="1:9">
      <c r="A40" s="16" t="s">
        <v>132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-10.09</v>
      </c>
      <c r="C42" s="52">
        <f>ROUND(B42*12,2)</f>
        <v>-121.08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-499.20400000000001</v>
      </c>
      <c r="C43" s="52">
        <f>B43*12</f>
        <v>-5990.4480000000003</v>
      </c>
      <c r="D43" s="69">
        <v>-0.185</v>
      </c>
      <c r="E43" s="44">
        <v>574.36</v>
      </c>
      <c r="F43" s="119">
        <v>6265</v>
      </c>
      <c r="G43" s="127" t="s">
        <v>128</v>
      </c>
    </row>
    <row r="44" spans="1:9" ht="13.2" outlineLevel="1">
      <c r="A44" s="117" t="s">
        <v>79</v>
      </c>
      <c r="B44" s="52">
        <f>IF(B$41&lt;E44,E44*D44,IF(B$41&gt;F44,F44*D44,B$41*D44))</f>
        <v>-183.49120000000002</v>
      </c>
      <c r="C44" s="52">
        <f>B44*12</f>
        <v>-2201.8944000000001</v>
      </c>
      <c r="D44" s="69">
        <v>-6.8000000000000005E-2</v>
      </c>
      <c r="E44" s="44">
        <v>460.66</v>
      </c>
      <c r="F44" s="119">
        <v>6265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-47.927250000000001</v>
      </c>
      <c r="C45" s="52">
        <f>B45*12</f>
        <v>-575.12699999999995</v>
      </c>
      <c r="D45" s="69">
        <v>-1.5299999999999999E-2</v>
      </c>
      <c r="E45" s="44">
        <v>3132.5</v>
      </c>
      <c r="F45" s="119">
        <v>3132.5</v>
      </c>
      <c r="G45" s="115"/>
    </row>
    <row r="46" spans="1:9" outlineLevel="1">
      <c r="A46" s="118" t="s">
        <v>98</v>
      </c>
      <c r="B46" s="52">
        <f>IF(B$41&lt;E46,E46*D46,IF(B$41&gt;F46,F46*D46,B$41*D46))</f>
        <v>-187.95</v>
      </c>
      <c r="C46" s="52">
        <f>B46*12</f>
        <v>-2255.3999999999996</v>
      </c>
      <c r="D46" s="69">
        <v>-0.06</v>
      </c>
      <c r="E46" s="44">
        <v>3132.5</v>
      </c>
      <c r="F46" s="119">
        <v>3132.5</v>
      </c>
    </row>
    <row r="47" spans="1:9">
      <c r="A47" s="32" t="s">
        <v>7</v>
      </c>
      <c r="B47" s="47">
        <f>ROUND(SUM(B42:B46),2)</f>
        <v>-928.66</v>
      </c>
      <c r="C47" s="47">
        <f>ROUND(SUM(C42:C46),2)</f>
        <v>-11143.95</v>
      </c>
      <c r="D47" s="48">
        <f>ROUND(C47/C37,3)</f>
        <v>-0.4</v>
      </c>
      <c r="E47" s="33"/>
      <c r="F47" s="33"/>
    </row>
    <row r="48" spans="1:9" ht="13.5" customHeight="1">
      <c r="A48" s="70" t="s">
        <v>45</v>
      </c>
      <c r="B48" s="50">
        <f>SUM(B41,B47)</f>
        <v>1769.7400000000002</v>
      </c>
      <c r="C48" s="50">
        <f>SUM(C37:C40,C47)</f>
        <v>21236.85</v>
      </c>
      <c r="D48" s="51">
        <f>ROUND(C48/C37,3)</f>
        <v>0.76300000000000001</v>
      </c>
      <c r="E48" s="71" t="s">
        <v>46</v>
      </c>
      <c r="F48" s="71" t="s">
        <v>47</v>
      </c>
      <c r="G48" s="72" t="str">
        <f>IF(B69&gt;2,"MKZ","")</f>
        <v/>
      </c>
      <c r="H48" s="176" t="str">
        <f>IF(G48="MKZ","Info zum Mehrkindzuschlag (MKZ) seit 2011","")</f>
        <v/>
      </c>
      <c r="I48" s="15"/>
    </row>
    <row r="49" spans="1:9" ht="13.5" customHeight="1">
      <c r="A49" s="73" t="s">
        <v>48</v>
      </c>
      <c r="B49" s="73"/>
      <c r="C49" s="74">
        <f>IF(ISBLANK(E49),-60,ROUND(MIN(-60,IF(C48&lt;36400,MIN(E49,F49)/-4,((60000-C48)*(MIN(E49,F49)/4-60)/23600+60)*-1)),2))</f>
        <v>-60</v>
      </c>
      <c r="D49" s="3"/>
      <c r="E49" s="75"/>
      <c r="F49" s="76">
        <f>IF(B68=0,2920,IF(B69&lt;3,5840,IF(G49="ohne MKZ",5840,5840)))</f>
        <v>2920</v>
      </c>
      <c r="G49" s="77"/>
      <c r="H49" s="173" t="s">
        <v>131</v>
      </c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für",IF(ISBLANK(G51),ROUND((B69-2)*12,0),""),"")</f>
        <v/>
      </c>
      <c r="H50" s="15"/>
      <c r="I50" s="15"/>
    </row>
    <row r="51" spans="1:9" hidden="1" outlineLevel="1">
      <c r="A51" s="19" t="s">
        <v>124</v>
      </c>
      <c r="B51" s="19"/>
      <c r="C51" s="74"/>
      <c r="D51" s="16"/>
      <c r="E51" s="120"/>
      <c r="F51" s="21"/>
      <c r="G51" s="102"/>
      <c r="H51" s="15"/>
      <c r="I51" s="15"/>
    </row>
    <row r="52" spans="1:9" collapsed="1">
      <c r="A52" s="79" t="s">
        <v>50</v>
      </c>
      <c r="B52" s="79"/>
      <c r="C52" s="80">
        <f>ROUND(IF(SUM(C48:C51)&lt;0,0,SUM(C48:C51)),2)</f>
        <v>21176.85</v>
      </c>
      <c r="D52" s="81"/>
      <c r="E52" s="82"/>
      <c r="F52" s="83">
        <f>ROUND(IF(C52&gt;36400,0.12,IF(C52&gt;14600,0.1,IF(C52&gt;7300,0.08,0.06)))-SUM(B68/100,B69/100),3)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2117.69</v>
      </c>
      <c r="G53" s="103"/>
      <c r="H53" s="173" t="s">
        <v>134</v>
      </c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141</v>
      </c>
      <c r="B55" s="86">
        <v>1</v>
      </c>
      <c r="C55" s="80">
        <f>ROUND(IF(SUM(C52:C54)&lt;0,0,SUM(C52:C54)),2)</f>
        <v>21176.85</v>
      </c>
      <c r="E55" s="87">
        <f>F55/C55</f>
        <v>-0.11861537480786803</v>
      </c>
      <c r="F55" s="23">
        <f>ROUND(SUM(D57:D63),2)</f>
        <v>-2511.9</v>
      </c>
      <c r="G55" s="103"/>
      <c r="H55" s="23"/>
    </row>
    <row r="56" spans="1:9" s="20" customFormat="1" ht="3" customHeight="1">
      <c r="A56" s="70"/>
      <c r="B56" s="86"/>
      <c r="C56" s="74"/>
      <c r="E56" s="87"/>
      <c r="F56" s="23"/>
      <c r="G56" s="103"/>
      <c r="H56" s="23"/>
    </row>
    <row r="57" spans="1:9" s="20" customFormat="1">
      <c r="A57" s="131">
        <v>11000</v>
      </c>
      <c r="B57" s="132">
        <v>0</v>
      </c>
      <c r="C57" s="134">
        <f>IF($C$55&gt;A57,A57,$C$55)</f>
        <v>11000</v>
      </c>
      <c r="D57" s="135">
        <f t="shared" ref="D57:D63" si="4">ROUND(B57*C57,4)</f>
        <v>0</v>
      </c>
      <c r="F57" s="23"/>
      <c r="G57" s="170"/>
      <c r="H57" s="23" t="s">
        <v>140</v>
      </c>
    </row>
    <row r="58" spans="1:9" s="20" customFormat="1">
      <c r="A58" s="131">
        <v>18000</v>
      </c>
      <c r="B58" s="132">
        <v>-0.2</v>
      </c>
      <c r="C58" s="134">
        <f>IF($C$55&gt;A58,A58-A57,$C$55-C57)</f>
        <v>7000</v>
      </c>
      <c r="D58" s="135">
        <f t="shared" si="4"/>
        <v>-1400</v>
      </c>
      <c r="F58" s="23"/>
      <c r="G58" s="170">
        <f>IF(C58&gt;0,B58,"")</f>
        <v>-0.2</v>
      </c>
      <c r="H58" s="23"/>
    </row>
    <row r="59" spans="1:9" s="20" customFormat="1">
      <c r="A59" s="131">
        <v>31000</v>
      </c>
      <c r="B59" s="132">
        <v>-0.35</v>
      </c>
      <c r="C59" s="134">
        <f>IF($C$55&gt;A59,A59-A58,$C$55-SUM($C$57:C58))</f>
        <v>3176.8499999999985</v>
      </c>
      <c r="D59" s="135">
        <f t="shared" si="4"/>
        <v>-1111.8975</v>
      </c>
      <c r="F59" s="23"/>
      <c r="G59" s="170">
        <f>IF(C59&gt;0,B59-B58,"")</f>
        <v>-0.14999999999999997</v>
      </c>
      <c r="H59" s="23"/>
    </row>
    <row r="60" spans="1:9" s="20" customFormat="1">
      <c r="A60" s="131">
        <v>60000</v>
      </c>
      <c r="B60" s="132">
        <v>-0.42</v>
      </c>
      <c r="C60" s="134">
        <f>IF($C$55&gt;A60,A60-A59,$C$55-SUM($C$57:C59))</f>
        <v>0</v>
      </c>
      <c r="D60" s="135">
        <f t="shared" si="4"/>
        <v>0</v>
      </c>
      <c r="F60" s="23"/>
      <c r="G60" s="170" t="str">
        <f t="shared" ref="G60:G63" si="5">IF(C60&gt;0,B60-B59,"")</f>
        <v/>
      </c>
      <c r="H60" s="23"/>
    </row>
    <row r="61" spans="1:9" s="20" customFormat="1">
      <c r="A61" s="131">
        <v>90000</v>
      </c>
      <c r="B61" s="132">
        <v>-0.48</v>
      </c>
      <c r="C61" s="134">
        <f>IF($C$55&gt;A61,A61-A60,$C$55-SUM($C$57:C60))</f>
        <v>0</v>
      </c>
      <c r="D61" s="135">
        <f t="shared" si="4"/>
        <v>0</v>
      </c>
      <c r="F61" s="23"/>
      <c r="G61" s="170" t="str">
        <f t="shared" si="5"/>
        <v/>
      </c>
      <c r="H61" s="23"/>
    </row>
    <row r="62" spans="1:9" s="20" customFormat="1">
      <c r="A62" s="131">
        <v>1000000</v>
      </c>
      <c r="B62" s="132">
        <v>-0.5</v>
      </c>
      <c r="C62" s="134">
        <f>IF($C$55&gt;A62,A62-A61,$C$55-SUM($C$57:C61))</f>
        <v>0</v>
      </c>
      <c r="D62" s="135">
        <f t="shared" si="4"/>
        <v>0</v>
      </c>
      <c r="F62" s="23"/>
      <c r="G62" s="170" t="str">
        <f t="shared" si="5"/>
        <v/>
      </c>
      <c r="H62" s="23"/>
    </row>
    <row r="63" spans="1:9" s="20" customFormat="1">
      <c r="A63" s="133"/>
      <c r="B63" s="132">
        <v>-0.55000000000000004</v>
      </c>
      <c r="C63" s="134">
        <f>$C$55-SUM($C$57:C62)</f>
        <v>0</v>
      </c>
      <c r="D63" s="135">
        <f t="shared" si="4"/>
        <v>0</v>
      </c>
      <c r="F63" s="23"/>
      <c r="G63" s="170" t="str">
        <f t="shared" si="5"/>
        <v/>
      </c>
      <c r="H63" s="23"/>
    </row>
    <row r="64" spans="1:9" s="20" customFormat="1" ht="1.8" customHeight="1">
      <c r="A64" s="70"/>
      <c r="B64" s="86"/>
      <c r="C64" s="74"/>
      <c r="E64" s="87"/>
      <c r="F64" s="23"/>
      <c r="G64" s="103"/>
      <c r="H64" s="23"/>
    </row>
    <row r="65" spans="1:8" s="20" customFormat="1">
      <c r="A65" s="64" t="s">
        <v>125</v>
      </c>
      <c r="B65" s="88">
        <v>0</v>
      </c>
      <c r="C65" s="74"/>
      <c r="E65" s="87">
        <f t="shared" ref="E65:E68" si="6">F65/C$55</f>
        <v>0</v>
      </c>
      <c r="F65" s="90"/>
      <c r="G65" s="103"/>
      <c r="H65" s="173" t="s">
        <v>127</v>
      </c>
    </row>
    <row r="66" spans="1:8" s="20" customFormat="1">
      <c r="A66" s="64" t="s">
        <v>126</v>
      </c>
      <c r="B66" s="88">
        <v>0</v>
      </c>
      <c r="C66" s="74"/>
      <c r="E66" s="87">
        <f t="shared" si="6"/>
        <v>0</v>
      </c>
      <c r="F66" s="90"/>
      <c r="G66" s="103"/>
      <c r="H66" s="23"/>
    </row>
    <row r="67" spans="1:8" s="20" customFormat="1" hidden="1">
      <c r="A67" s="174" t="s">
        <v>53</v>
      </c>
      <c r="B67" s="86"/>
      <c r="C67" s="74"/>
      <c r="E67" s="87"/>
      <c r="F67" s="175">
        <f>ROUND(IF(SUM(F55,F65)&gt;0,F66,SUM(F55,F65:F66)),2)</f>
        <v>-2511.9</v>
      </c>
      <c r="G67" s="103"/>
      <c r="H67" s="23"/>
    </row>
    <row r="68" spans="1:8" s="20" customFormat="1">
      <c r="A68" s="64" t="str">
        <f>IF(SUM(B68:B69)=1,"Ek Ehe-/Lebenspartner &lt; 6000,-/Jahr","Alleinverdiener, -erzieherabsetzbetrag")</f>
        <v>Alleinverdiener, -erzieherabsetzbetrag</v>
      </c>
      <c r="B68" s="88">
        <f>IF(ISBLANK(F68),0,1)</f>
        <v>0</v>
      </c>
      <c r="C68" s="89"/>
      <c r="E68" s="87">
        <f t="shared" si="6"/>
        <v>0</v>
      </c>
      <c r="F68" s="90"/>
      <c r="G68" s="103"/>
      <c r="H68" s="173" t="s">
        <v>129</v>
      </c>
    </row>
    <row r="69" spans="1:8" s="20" customFormat="1">
      <c r="A69" s="19" t="s">
        <v>52</v>
      </c>
      <c r="B69" s="88">
        <f>IF(F69=130,1,IF(F69=305,2,IF(F69=525,3,IF(F69=745,4,IF(F69=965,5,IF(F69=1185,6,IF(F69=1405,7,0)))))))</f>
        <v>0</v>
      </c>
      <c r="C69" s="21"/>
      <c r="D69" s="19"/>
      <c r="E69" s="87">
        <f>F69/C$55</f>
        <v>0</v>
      </c>
      <c r="F69" s="90"/>
      <c r="G69" s="103"/>
    </row>
    <row r="70" spans="1:8" s="20" customFormat="1" hidden="1">
      <c r="A70" s="79" t="s">
        <v>53</v>
      </c>
      <c r="B70" s="79"/>
      <c r="C70" s="80"/>
      <c r="D70" s="79"/>
      <c r="E70" s="91"/>
      <c r="F70" s="80">
        <f>ROUND(IF(F69=0,IF(SUM(F67,F68)&gt;0,0,SUM(F67:F69)),SUM(F67:F69)),2)</f>
        <v>-2511.9</v>
      </c>
      <c r="G70" s="103"/>
    </row>
    <row r="71" spans="1:8" s="20" customFormat="1">
      <c r="A71" s="25" t="s">
        <v>54</v>
      </c>
      <c r="B71" s="92">
        <f>IF(F71&gt;0,1,0)</f>
        <v>0</v>
      </c>
      <c r="C71" s="74"/>
      <c r="E71" s="87">
        <f>F71/C$55</f>
        <v>0</v>
      </c>
      <c r="F71" s="90"/>
      <c r="G71" s="103"/>
      <c r="H71" s="173" t="s">
        <v>130</v>
      </c>
    </row>
    <row r="72" spans="1:8" s="20" customFormat="1">
      <c r="A72" s="93" t="str">
        <f>IF(F72&lt;=0,"Einkommensteuer (ESt) des Jahres","ESt-Gutschrift aus Negativsteuer")</f>
        <v>Einkommensteuer (ESt) des Jahres</v>
      </c>
      <c r="B72" s="93"/>
      <c r="C72" s="80">
        <f>F72</f>
        <v>-2512</v>
      </c>
      <c r="D72" s="51">
        <f>ROUND(C72/C37,3)</f>
        <v>-0.09</v>
      </c>
      <c r="E72" s="91">
        <f>SUM(E55:E71)</f>
        <v>-0.11861537480786803</v>
      </c>
      <c r="F72" s="80">
        <f>ROUND(IF(F70&gt;0,F70,IF(SUM(F70:F71)&gt;0,0,SUM(F70:F71))),0)</f>
        <v>-2512</v>
      </c>
      <c r="G72" s="74" t="str">
        <f>IF(G49="inkl. MKZ für",IF(B69&gt;2,IF(ISBLANK(G51),ROUND(G50*20,2),ROUND(G51*20,2)),""),"")</f>
        <v/>
      </c>
    </row>
    <row r="73" spans="1:8" s="20" customFormat="1" ht="13.5" customHeight="1" thickBot="1">
      <c r="A73" s="94" t="s">
        <v>142</v>
      </c>
      <c r="B73" s="95"/>
      <c r="C73" s="96">
        <f>SUM(C55,C72)</f>
        <v>18664.849999999999</v>
      </c>
      <c r="D73" s="122">
        <f>ROUND(C73/C37,3)</f>
        <v>0.67</v>
      </c>
      <c r="E73" s="323" t="str">
        <f>IF(C55&lt;=11000,"",CONCATENATE(" (Grenzsteuersatz .. ",SUM(G58:G63)*-100," %)"))</f>
        <v xml:space="preserve"> (Grenzsteuersatz .. 35 %)</v>
      </c>
      <c r="F73" s="323"/>
    </row>
    <row r="74" spans="1:8" s="20" customFormat="1" ht="29.25" customHeight="1" thickTop="1">
      <c r="A74" s="26"/>
      <c r="B74" s="26"/>
      <c r="C74" s="27"/>
      <c r="D74" s="27"/>
      <c r="E74" s="27"/>
      <c r="F74" s="39"/>
    </row>
    <row r="75" spans="1:8" ht="12">
      <c r="A75" s="1" t="s">
        <v>63</v>
      </c>
      <c r="B75" s="2" t="s">
        <v>0</v>
      </c>
      <c r="C75" s="2" t="s">
        <v>1</v>
      </c>
      <c r="D75" s="34" t="s">
        <v>4</v>
      </c>
      <c r="E75" s="35"/>
      <c r="F75" s="104" t="s">
        <v>58</v>
      </c>
    </row>
    <row r="76" spans="1:8">
      <c r="A76" s="4" t="s">
        <v>5</v>
      </c>
      <c r="B76" s="53">
        <f>ROUND(B11,2)</f>
        <v>3000</v>
      </c>
      <c r="C76" s="18">
        <f>B76*12</f>
        <v>36000</v>
      </c>
      <c r="D76" s="57">
        <v>1</v>
      </c>
    </row>
    <row r="77" spans="1:8">
      <c r="A77" s="4" t="s">
        <v>92</v>
      </c>
      <c r="B77" s="54">
        <f>ROUND(SUM(B14:B16,B18:B23,B25:B30,B32:B33),2)</f>
        <v>0</v>
      </c>
      <c r="C77" s="18">
        <f>B77*12</f>
        <v>0</v>
      </c>
      <c r="D77" s="57">
        <f>ROUND(B77/B76,3)</f>
        <v>0</v>
      </c>
    </row>
    <row r="78" spans="1:8">
      <c r="A78" s="16" t="s">
        <v>7</v>
      </c>
      <c r="B78" s="53">
        <f>ROUND(B47,2)</f>
        <v>-928.66</v>
      </c>
      <c r="C78" s="18">
        <f>B78*12</f>
        <v>-11143.92</v>
      </c>
      <c r="D78" s="57">
        <f>ROUND(B78/B76,3)</f>
        <v>-0.31</v>
      </c>
      <c r="E78" s="123" t="str">
        <f>CONCATENATE(" (davon  ",ROUND(SUM(C40,C78),2)," Nachforderung)")</f>
        <v xml:space="preserve"> (davon  -2983,92 Nachforderung)</v>
      </c>
    </row>
    <row r="79" spans="1:8">
      <c r="A79" s="4" t="s">
        <v>102</v>
      </c>
      <c r="B79" s="53">
        <f>ROUND(C72/12,2)</f>
        <v>-209.33</v>
      </c>
      <c r="C79" s="18">
        <f>B79*12</f>
        <v>-2511.96</v>
      </c>
      <c r="D79" s="57">
        <f>ROUND(B79/B76,3)</f>
        <v>-7.0000000000000007E-2</v>
      </c>
    </row>
    <row r="80" spans="1:8" ht="12" thickBot="1">
      <c r="A80" s="8" t="s">
        <v>55</v>
      </c>
      <c r="B80" s="55">
        <f>ROUND(SUM(B76:B79),2)</f>
        <v>1862.01</v>
      </c>
      <c r="C80" s="28">
        <f>B80*12</f>
        <v>22344.12</v>
      </c>
      <c r="D80" s="58">
        <f>ROUND(B80/B76,4)</f>
        <v>0.62070000000000003</v>
      </c>
      <c r="E80" s="38"/>
      <c r="F80" s="37"/>
    </row>
    <row r="81" spans="1:6" ht="12.6" thickTop="1" thickBot="1">
      <c r="A81" s="29" t="s">
        <v>56</v>
      </c>
      <c r="B81" s="56">
        <f>ROUND(B80*12/14,2)</f>
        <v>1596.01</v>
      </c>
      <c r="C81" s="97"/>
      <c r="D81" s="98"/>
      <c r="E81" s="99"/>
      <c r="F81" s="99"/>
    </row>
    <row r="82" spans="1:6" s="20" customFormat="1" ht="25.5" customHeight="1" thickTop="1">
      <c r="A82" s="26"/>
      <c r="B82" s="26"/>
      <c r="C82" s="27"/>
      <c r="D82" s="27"/>
      <c r="E82" s="27"/>
      <c r="F82" s="39"/>
    </row>
    <row r="83" spans="1:6" ht="13.2">
      <c r="A83" s="108" t="s">
        <v>64</v>
      </c>
      <c r="B83" s="2" t="s">
        <v>0</v>
      </c>
      <c r="C83" s="2" t="s">
        <v>1</v>
      </c>
      <c r="D83" s="34"/>
      <c r="E83" s="35"/>
      <c r="F83" s="104" t="s">
        <v>58</v>
      </c>
    </row>
    <row r="84" spans="1:6" ht="13.5" customHeight="1">
      <c r="A84" s="20" t="s">
        <v>59</v>
      </c>
      <c r="B84" s="105">
        <f>C84/12</f>
        <v>2071.3375000000001</v>
      </c>
      <c r="C84" s="105">
        <f>C11+C34+C47-C17-C31-C33</f>
        <v>24856.05</v>
      </c>
    </row>
    <row r="85" spans="1:6">
      <c r="A85" s="20" t="s">
        <v>60</v>
      </c>
      <c r="B85" s="105">
        <f>C85/12</f>
        <v>0</v>
      </c>
      <c r="C85" s="105">
        <f>C33</f>
        <v>0</v>
      </c>
    </row>
    <row r="86" spans="1:6">
      <c r="A86" s="93" t="s">
        <v>61</v>
      </c>
      <c r="B86" s="80">
        <f>SUM(B84:B85)</f>
        <v>2071.3375000000001</v>
      </c>
      <c r="C86" s="80">
        <f>SUM(C84:C85)</f>
        <v>24856.05</v>
      </c>
    </row>
    <row r="87" spans="1:6">
      <c r="A87" s="20" t="s">
        <v>62</v>
      </c>
      <c r="B87" s="105">
        <f>C87/12</f>
        <v>0</v>
      </c>
      <c r="C87" s="105">
        <f>C17</f>
        <v>0</v>
      </c>
    </row>
    <row r="88" spans="1:6" ht="12" thickBot="1">
      <c r="A88" s="106" t="str">
        <f>IF(C88&lt;0,"   V e r l u s t","   G e w i n n   ( Überschuß)")</f>
        <v xml:space="preserve">   G e w i n n   ( Überschuß)</v>
      </c>
      <c r="B88" s="107">
        <f>ROUND(SUM(B86:B87),2)</f>
        <v>2071.34</v>
      </c>
      <c r="C88" s="107">
        <f>ROUND(SUM(C86:C87),2)</f>
        <v>24856.05</v>
      </c>
      <c r="D88" s="109"/>
      <c r="E88" s="37"/>
      <c r="F88" s="37"/>
    </row>
    <row r="89" spans="1:6" s="20" customFormat="1" ht="25.5" customHeight="1" thickTop="1">
      <c r="A89" s="26"/>
      <c r="B89" s="26"/>
      <c r="C89" s="27"/>
      <c r="D89" s="27"/>
      <c r="E89" s="27"/>
      <c r="F89" s="39"/>
    </row>
    <row r="90" spans="1:6" ht="13.2">
      <c r="A90" s="108" t="s">
        <v>65</v>
      </c>
      <c r="B90" s="2" t="s">
        <v>0</v>
      </c>
      <c r="C90" s="2" t="s">
        <v>1</v>
      </c>
      <c r="D90" s="34"/>
      <c r="E90" s="35"/>
      <c r="F90" s="104" t="s">
        <v>58</v>
      </c>
    </row>
    <row r="91" spans="1:6" ht="12.75" customHeight="1">
      <c r="A91" s="4" t="s">
        <v>66</v>
      </c>
      <c r="C91" s="113"/>
    </row>
    <row r="92" spans="1:6">
      <c r="A92" s="110" t="s">
        <v>67</v>
      </c>
      <c r="B92" s="111"/>
      <c r="C92" s="46"/>
    </row>
    <row r="93" spans="1:6" ht="14.25" customHeight="1">
      <c r="A93" s="4" t="s">
        <v>68</v>
      </c>
      <c r="C93" s="18">
        <f>SUM(C91:C92)</f>
        <v>0</v>
      </c>
    </row>
    <row r="94" spans="1:6">
      <c r="A94" s="110" t="s">
        <v>69</v>
      </c>
      <c r="B94" s="111"/>
      <c r="C94" s="46"/>
      <c r="D94" s="114"/>
      <c r="E94" s="112">
        <f>SUM(C93:C94)</f>
        <v>0</v>
      </c>
    </row>
    <row r="95" spans="1:6" ht="17.25" customHeight="1">
      <c r="A95" s="4" t="s">
        <v>70</v>
      </c>
      <c r="B95" s="18">
        <f>C95/12</f>
        <v>1862.01</v>
      </c>
      <c r="C95" s="18">
        <f>C80</f>
        <v>22344.12</v>
      </c>
    </row>
    <row r="96" spans="1:6">
      <c r="A96" s="110" t="s">
        <v>71</v>
      </c>
      <c r="B96" s="46"/>
      <c r="C96" s="112">
        <f>B96*12</f>
        <v>0</v>
      </c>
      <c r="D96" s="114"/>
      <c r="E96" s="112">
        <f>SUM(C95:C96)</f>
        <v>22344.12</v>
      </c>
    </row>
    <row r="97" spans="1:9" ht="13.5" customHeight="1">
      <c r="A97" s="4" t="s">
        <v>72</v>
      </c>
      <c r="B97" s="18">
        <f>C97/12</f>
        <v>0</v>
      </c>
      <c r="C97" s="113"/>
      <c r="E97" s="18">
        <f>C97</f>
        <v>0</v>
      </c>
    </row>
    <row r="98" spans="1:9" ht="15" customHeight="1" thickBot="1">
      <c r="A98" s="106" t="str">
        <f>IF(C98&lt;0,"   U n t e r d e c k u n g   gesamt","   Ü b e r d e c k u n g   gesamt")</f>
        <v xml:space="preserve">   Ü b e r d e c k u n g   gesamt</v>
      </c>
      <c r="B98" s="9"/>
      <c r="C98" s="28">
        <f>SUM(C93:C97)</f>
        <v>22344.12</v>
      </c>
      <c r="D98" s="109"/>
      <c r="E98" s="28">
        <f>SUM(E94:E97)</f>
        <v>22344.12</v>
      </c>
      <c r="F98" s="37"/>
    </row>
    <row r="99" spans="1:9" s="20" customFormat="1" ht="25.5" customHeight="1" thickTop="1">
      <c r="A99" s="26"/>
      <c r="B99" s="26"/>
      <c r="C99" s="27"/>
      <c r="D99" s="27"/>
      <c r="E99" s="27"/>
      <c r="F99" s="39"/>
    </row>
    <row r="100" spans="1:9">
      <c r="C100" s="5"/>
    </row>
    <row r="101" spans="1:9">
      <c r="C101" s="5"/>
    </row>
    <row r="102" spans="1:9">
      <c r="C102" s="5"/>
    </row>
    <row r="103" spans="1:9">
      <c r="C103" s="5"/>
    </row>
    <row r="104" spans="1:9">
      <c r="C104" s="5"/>
    </row>
    <row r="105" spans="1:9">
      <c r="C105" s="5"/>
    </row>
    <row r="106" spans="1:9">
      <c r="C106" s="5"/>
    </row>
    <row r="107" spans="1:9">
      <c r="C107" s="5"/>
    </row>
    <row r="108" spans="1:9">
      <c r="C108" s="5"/>
    </row>
    <row r="109" spans="1:9" s="7" customFormat="1">
      <c r="A109" s="4"/>
      <c r="B109" s="5"/>
      <c r="C109" s="5"/>
      <c r="E109" s="3"/>
      <c r="F109" s="3"/>
      <c r="G109" s="3"/>
      <c r="H109" s="3"/>
      <c r="I109" s="3"/>
    </row>
    <row r="110" spans="1:9" s="7" customFormat="1">
      <c r="A110" s="4"/>
      <c r="B110" s="5"/>
      <c r="C110" s="5"/>
      <c r="E110" s="3"/>
      <c r="F110" s="3"/>
      <c r="G110" s="3"/>
      <c r="H110" s="3"/>
      <c r="I110" s="3"/>
    </row>
    <row r="111" spans="1:9" s="7" customFormat="1">
      <c r="A111" s="4"/>
      <c r="B111" s="5"/>
      <c r="C111" s="5"/>
      <c r="E111" s="3"/>
      <c r="F111" s="3"/>
      <c r="G111" s="3"/>
      <c r="H111" s="3"/>
      <c r="I111" s="3"/>
    </row>
    <row r="112" spans="1:9" s="7" customFormat="1">
      <c r="A112" s="4"/>
      <c r="B112" s="5"/>
      <c r="C112" s="5"/>
      <c r="E112" s="3"/>
      <c r="F112" s="3"/>
      <c r="G112" s="3"/>
      <c r="H112" s="3"/>
      <c r="I112" s="3"/>
    </row>
    <row r="113" spans="1:9" s="7" customFormat="1">
      <c r="A113" s="4"/>
      <c r="B113" s="5"/>
      <c r="C113" s="5"/>
      <c r="E113" s="3"/>
      <c r="F113" s="3"/>
      <c r="G113" s="3"/>
      <c r="H113" s="3"/>
      <c r="I113" s="3"/>
    </row>
    <row r="114" spans="1:9" s="7" customFormat="1">
      <c r="A114" s="4"/>
      <c r="B114" s="5"/>
      <c r="C114" s="5"/>
      <c r="E114" s="3"/>
      <c r="F114" s="3"/>
      <c r="G114" s="3"/>
      <c r="H114" s="3"/>
      <c r="I114" s="3"/>
    </row>
    <row r="115" spans="1:9" s="7" customFormat="1">
      <c r="A115" s="4"/>
      <c r="B115" s="5"/>
      <c r="C115" s="5"/>
      <c r="E115" s="3"/>
      <c r="F115" s="3"/>
      <c r="G115" s="3"/>
      <c r="H115" s="3"/>
      <c r="I115" s="3"/>
    </row>
    <row r="116" spans="1:9" s="7" customFormat="1">
      <c r="A116" s="4"/>
      <c r="B116" s="5"/>
      <c r="C116" s="5"/>
      <c r="E116" s="3"/>
      <c r="F116" s="3"/>
      <c r="G116" s="3"/>
      <c r="H116" s="3"/>
      <c r="I116" s="3"/>
    </row>
    <row r="117" spans="1:9" s="7" customFormat="1">
      <c r="A117" s="4"/>
      <c r="B117" s="5"/>
      <c r="C117" s="5"/>
      <c r="E117" s="3"/>
      <c r="F117" s="3"/>
      <c r="G117" s="3"/>
      <c r="H117" s="3"/>
      <c r="I117" s="3"/>
    </row>
    <row r="118" spans="1:9" s="7" customFormat="1">
      <c r="A118" s="4"/>
      <c r="B118" s="5"/>
      <c r="C118" s="5"/>
      <c r="E118" s="3"/>
      <c r="F118" s="3"/>
      <c r="G118" s="3"/>
      <c r="H118" s="3"/>
      <c r="I118" s="3"/>
    </row>
    <row r="119" spans="1:9" s="7" customFormat="1">
      <c r="A119" s="4"/>
      <c r="B119" s="5"/>
      <c r="C119" s="5"/>
      <c r="E119" s="3"/>
      <c r="F119" s="3"/>
      <c r="G119" s="3"/>
      <c r="H119" s="3"/>
      <c r="I119" s="3"/>
    </row>
    <row r="120" spans="1:9" s="7" customFormat="1">
      <c r="A120" s="4"/>
      <c r="B120" s="5"/>
      <c r="C120" s="5"/>
      <c r="E120" s="3"/>
      <c r="F120" s="3"/>
      <c r="G120" s="3"/>
      <c r="H120" s="3"/>
      <c r="I120" s="3"/>
    </row>
  </sheetData>
  <sheetProtection password="C837" sheet="1" objects="1" scenarios="1" autoFilter="0"/>
  <mergeCells count="4">
    <mergeCell ref="A1:D1"/>
    <mergeCell ref="E1:F1"/>
    <mergeCell ref="D42:F42"/>
    <mergeCell ref="E73:F73"/>
  </mergeCells>
  <conditionalFormatting sqref="F68">
    <cfRule type="expression" dxfId="182" priority="2">
      <formula>AND($F$66&gt;0,$F$69&lt;1)</formula>
    </cfRule>
    <cfRule type="expression" dxfId="181" priority="6" stopIfTrue="1">
      <formula>AND(F68=0,F69&gt;0)</formula>
    </cfRule>
  </conditionalFormatting>
  <conditionalFormatting sqref="B68">
    <cfRule type="expression" dxfId="180" priority="7" stopIfTrue="1">
      <formula>AND(F68=0,F69&gt;0)</formula>
    </cfRule>
  </conditionalFormatting>
  <conditionalFormatting sqref="B69">
    <cfRule type="expression" dxfId="179" priority="8" stopIfTrue="1">
      <formula>AND(F68=0,F69&gt;0)</formula>
    </cfRule>
  </conditionalFormatting>
  <conditionalFormatting sqref="G49">
    <cfRule type="expression" dxfId="178" priority="9" stopIfTrue="1">
      <formula>AND(B69&gt;2)</formula>
    </cfRule>
  </conditionalFormatting>
  <conditionalFormatting sqref="G52:G56 G64:G71">
    <cfRule type="expression" dxfId="177" priority="10" stopIfTrue="1">
      <formula>AND(B$69&gt;2)</formula>
    </cfRule>
  </conditionalFormatting>
  <conditionalFormatting sqref="G72">
    <cfRule type="expression" dxfId="176" priority="11" stopIfTrue="1">
      <formula>AND(B69&gt;2)</formula>
    </cfRule>
  </conditionalFormatting>
  <conditionalFormatting sqref="G48">
    <cfRule type="expression" dxfId="175" priority="12" stopIfTrue="1">
      <formula>AND(B69&gt;2)</formula>
    </cfRule>
  </conditionalFormatting>
  <conditionalFormatting sqref="G51">
    <cfRule type="expression" dxfId="174" priority="13" stopIfTrue="1">
      <formula>AND(B69&gt;2)</formula>
    </cfRule>
  </conditionalFormatting>
  <conditionalFormatting sqref="G50">
    <cfRule type="expression" dxfId="173" priority="14" stopIfTrue="1">
      <formula>AND(B69&gt;2)</formula>
    </cfRule>
  </conditionalFormatting>
  <conditionalFormatting sqref="E78">
    <cfRule type="expression" dxfId="172" priority="15" stopIfTrue="1">
      <formula>SUM(C40,C78)&lt;0</formula>
    </cfRule>
  </conditionalFormatting>
  <conditionalFormatting sqref="D38">
    <cfRule type="cellIs" dxfId="171" priority="16" stopIfTrue="1" operator="notBetween">
      <formula>0</formula>
      <formula>-0.13</formula>
    </cfRule>
  </conditionalFormatting>
  <conditionalFormatting sqref="F69">
    <cfRule type="expression" dxfId="170" priority="3">
      <formula>AND(F66&gt;0,F69&lt;1)</formula>
    </cfRule>
    <cfRule type="expression" dxfId="169" priority="17" stopIfTrue="1">
      <formula>AND(F68=0,F69&gt;0)</formula>
    </cfRule>
    <cfRule type="expression" dxfId="168" priority="18" stopIfTrue="1">
      <formula>AND(F68&gt;0,F69=0)</formula>
    </cfRule>
  </conditionalFormatting>
  <conditionalFormatting sqref="G57:G63">
    <cfRule type="expression" dxfId="167" priority="5" stopIfTrue="1">
      <formula>AND(B$69&gt;2)</formula>
    </cfRule>
  </conditionalFormatting>
  <conditionalFormatting sqref="F65">
    <cfRule type="expression" dxfId="166" priority="4">
      <formula>AND(SUM($F$55,$F$65)&gt;0)</formula>
    </cfRule>
  </conditionalFormatting>
  <dataValidations count="22"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  <dataValidation type="list" operator="equal" allowBlank="1" showInputMessage="1" showErrorMessage="1" errorTitle="RVO zu Absetzbetrag:" error="Wert Null oder 364 gefordert!" sqref="F68">
      <formula1>"0,364"</formula1>
    </dataValidation>
    <dataValidation type="list" allowBlank="1" showInputMessage="1" showErrorMessage="1" errorTitle="RVO zu Kinderzuschlag:" error="Eingabe lt. Liste. Die Werte steigen nach Anzahl der Kinder!" sqref="F69">
      <formula1>"0,130,305,525,745,965,1185,1405"</formula1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C91:C92 B96 B14:B33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Einnahme!" error="Werte zwischen Null und 999.999,- erlaubt!" sqref="C94 B3:B1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51">
      <formula1>-3080</formula1>
      <formula2>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71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  <dataValidation type="decimal" allowBlank="1" showInputMessage="1" showErrorMessage="1" sqref="F65">
      <formula1>0</formula1>
      <formula2>14999</formula2>
    </dataValidation>
    <dataValidation type="decimal" allowBlank="1" showInputMessage="1" showErrorMessage="1" sqref="F66">
      <formula1>0</formula1>
      <formula2>2499</formula2>
    </dataValidation>
  </dataValidations>
  <hyperlinks>
    <hyperlink ref="F36" r:id="rId1" display="www.rvo.at"/>
    <hyperlink ref="F75" r:id="rId2" display="www.rvo.at"/>
    <hyperlink ref="F83" r:id="rId3" display="www.rvo.at"/>
    <hyperlink ref="F90" r:id="rId4" display="www.rvo.at"/>
    <hyperlink ref="G43" r:id="rId5"/>
    <hyperlink ref="H65" r:id="rId6"/>
    <hyperlink ref="H48" r:id="rId7" display="https://www.frauen-familien-jugend.bka.gv.at/familie/finanzielle-unterstuetzungen/mehrkindzuschlag.html"/>
    <hyperlink ref="H68" r:id="rId8"/>
    <hyperlink ref="H71" r:id="rId9"/>
    <hyperlink ref="H49" r:id="rId10"/>
    <hyperlink ref="H53" r:id="rId11"/>
  </hyperlinks>
  <printOptions horizontalCentered="1" gridLines="1"/>
  <pageMargins left="0.35" right="0.21" top="0.48" bottom="0.49" header="0.25" footer="0.23"/>
  <pageSetup paperSize="9" orientation="portrait" r:id="rId12"/>
  <headerFooter alignWithMargins="0">
    <oddHeader>&amp;L&amp;8&amp;F&amp;C&amp;8&amp;A&amp;R&amp;8&amp;D</oddHeader>
    <oddFooter>&amp;L&amp;8copyright © www.rvo.at</oddFooter>
  </headerFooter>
  <legacyDrawing r:id="rId1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K74"/>
  <sheetViews>
    <sheetView zoomScaleNormal="100" workbookViewId="0">
      <pane ySplit="1" topLeftCell="A2" activePane="bottomLeft" state="frozen"/>
      <selection activeCell="G24" sqref="G24"/>
      <selection pane="bottomLeft" activeCell="A12" sqref="A12"/>
    </sheetView>
  </sheetViews>
  <sheetFormatPr baseColWidth="10" defaultColWidth="11.44140625" defaultRowHeight="11.4"/>
  <cols>
    <col min="1" max="1" width="12.44140625" style="168" customWidth="1"/>
    <col min="2" max="2" width="11.21875" style="169" customWidth="1"/>
    <col min="3" max="3" width="12.33203125" style="138" customWidth="1"/>
    <col min="4" max="4" width="11.5546875" style="167" customWidth="1"/>
    <col min="5" max="5" width="11.6640625" style="138" customWidth="1"/>
    <col min="6" max="6" width="10.6640625" style="138" hidden="1" customWidth="1"/>
    <col min="7" max="7" width="10.6640625" style="138" customWidth="1"/>
    <col min="8" max="8" width="11.44140625" style="138" bestFit="1" customWidth="1"/>
    <col min="9" max="16384" width="11.44140625" style="138"/>
  </cols>
  <sheetData>
    <row r="1" spans="1:11" ht="15" customHeight="1">
      <c r="A1" s="324" t="s">
        <v>135</v>
      </c>
      <c r="B1" s="324"/>
      <c r="C1" s="324"/>
      <c r="D1" s="324"/>
      <c r="E1" s="324"/>
      <c r="F1" s="177"/>
      <c r="G1" s="177" t="s">
        <v>58</v>
      </c>
      <c r="H1" s="137" t="s">
        <v>58</v>
      </c>
    </row>
    <row r="2" spans="1:11" ht="17.399999999999999" customHeight="1">
      <c r="A2" s="139" t="s">
        <v>136</v>
      </c>
      <c r="B2" s="140" t="s">
        <v>137</v>
      </c>
      <c r="C2" s="140" t="s">
        <v>106</v>
      </c>
      <c r="D2" s="141" t="s">
        <v>107</v>
      </c>
      <c r="E2" s="141" t="s">
        <v>108</v>
      </c>
      <c r="F2" s="141"/>
      <c r="H2" s="142"/>
      <c r="I2" s="143"/>
    </row>
    <row r="3" spans="1:11">
      <c r="A3" s="144">
        <v>11000</v>
      </c>
      <c r="B3" s="145">
        <v>0</v>
      </c>
      <c r="C3" s="146">
        <v>-11000</v>
      </c>
      <c r="D3" s="147">
        <v>0</v>
      </c>
      <c r="E3" s="145">
        <v>0</v>
      </c>
      <c r="F3" s="145"/>
      <c r="G3" s="143"/>
      <c r="J3" s="145" t="s">
        <v>145</v>
      </c>
    </row>
    <row r="4" spans="1:11">
      <c r="A4" s="144">
        <v>18000</v>
      </c>
      <c r="B4" s="145">
        <v>-0.2</v>
      </c>
      <c r="C4" s="146">
        <f t="shared" ref="C4:C8" si="0">A3-A4</f>
        <v>-7000</v>
      </c>
      <c r="D4" s="147">
        <f>B4*C4</f>
        <v>1400</v>
      </c>
      <c r="E4" s="145">
        <f t="shared" ref="E4:E9" si="1">B3-B4</f>
        <v>0.2</v>
      </c>
      <c r="F4" s="145"/>
      <c r="G4" s="145"/>
      <c r="J4" s="145" t="s">
        <v>109</v>
      </c>
    </row>
    <row r="5" spans="1:11">
      <c r="A5" s="144">
        <v>31000</v>
      </c>
      <c r="B5" s="145">
        <v>-0.35</v>
      </c>
      <c r="C5" s="146">
        <f t="shared" si="0"/>
        <v>-13000</v>
      </c>
      <c r="D5" s="147">
        <f>B5*C5+D4</f>
        <v>5950</v>
      </c>
      <c r="E5" s="145">
        <f t="shared" si="1"/>
        <v>0.14999999999999997</v>
      </c>
      <c r="F5" s="145"/>
      <c r="G5" s="145"/>
      <c r="J5" s="145" t="s">
        <v>110</v>
      </c>
    </row>
    <row r="6" spans="1:11">
      <c r="A6" s="144">
        <v>60000</v>
      </c>
      <c r="B6" s="145">
        <v>-0.42</v>
      </c>
      <c r="C6" s="146">
        <f t="shared" si="0"/>
        <v>-29000</v>
      </c>
      <c r="D6" s="147">
        <f>B6*C6+D5</f>
        <v>18130</v>
      </c>
      <c r="E6" s="145">
        <f t="shared" si="1"/>
        <v>7.0000000000000007E-2</v>
      </c>
      <c r="F6" s="145"/>
      <c r="G6" s="145"/>
      <c r="H6" s="145"/>
    </row>
    <row r="7" spans="1:11">
      <c r="A7" s="144">
        <v>90000</v>
      </c>
      <c r="B7" s="145">
        <v>-0.48</v>
      </c>
      <c r="C7" s="146">
        <f t="shared" si="0"/>
        <v>-30000</v>
      </c>
      <c r="D7" s="147">
        <f>B7*C7+D6</f>
        <v>32530</v>
      </c>
      <c r="E7" s="145">
        <f t="shared" si="1"/>
        <v>0.06</v>
      </c>
      <c r="F7" s="145"/>
      <c r="G7" s="145"/>
      <c r="H7" s="145"/>
    </row>
    <row r="8" spans="1:11">
      <c r="A8" s="144">
        <v>1000000</v>
      </c>
      <c r="B8" s="145">
        <v>-0.5</v>
      </c>
      <c r="C8" s="146">
        <f t="shared" si="0"/>
        <v>-910000</v>
      </c>
      <c r="D8" s="147">
        <f>B8*C8+D7</f>
        <v>487530</v>
      </c>
      <c r="E8" s="145">
        <f t="shared" si="1"/>
        <v>2.0000000000000018E-2</v>
      </c>
      <c r="F8" s="145"/>
      <c r="G8" s="145"/>
      <c r="H8" s="145"/>
    </row>
    <row r="9" spans="1:11">
      <c r="A9" s="148" t="s">
        <v>111</v>
      </c>
      <c r="B9" s="145">
        <v>-0.55000000000000004</v>
      </c>
      <c r="C9" s="149"/>
      <c r="D9" s="150"/>
      <c r="E9" s="145">
        <f t="shared" si="1"/>
        <v>5.0000000000000044E-2</v>
      </c>
      <c r="F9" s="145"/>
      <c r="G9" s="145"/>
      <c r="H9" s="145"/>
      <c r="I9" s="147"/>
      <c r="J9" s="147"/>
    </row>
    <row r="10" spans="1:11">
      <c r="A10" s="151"/>
      <c r="B10" s="145"/>
      <c r="C10" s="149"/>
      <c r="D10" s="150"/>
      <c r="E10" s="145"/>
      <c r="F10" s="145"/>
      <c r="G10" s="145"/>
      <c r="H10" s="145"/>
      <c r="I10" s="147"/>
      <c r="J10" s="147"/>
    </row>
    <row r="11" spans="1:11">
      <c r="A11" s="152" t="s">
        <v>112</v>
      </c>
      <c r="B11" s="153" t="s">
        <v>137</v>
      </c>
      <c r="C11" s="153" t="s">
        <v>138</v>
      </c>
      <c r="D11" s="154" t="s">
        <v>144</v>
      </c>
      <c r="E11" s="154" t="s">
        <v>143</v>
      </c>
      <c r="F11" s="154" t="s">
        <v>114</v>
      </c>
      <c r="G11" s="155"/>
      <c r="H11" s="153" t="s">
        <v>139</v>
      </c>
      <c r="I11" s="154" t="s">
        <v>143</v>
      </c>
    </row>
    <row r="12" spans="1:11" ht="18" customHeight="1">
      <c r="A12" s="156">
        <v>25000</v>
      </c>
      <c r="B12" s="157">
        <f>ROUND(IF(A12&lt;=11000,0,IF(A12&lt;=18000,"-20 %",IF(A12&lt;=31000,"-35 %",IF(A12&lt;=60000,"-42 %",IF(A12&lt;=90000,"-48 %",IF(A12&lt;=1000000,"-50 %","-55 %")))))),2)</f>
        <v>-0.35</v>
      </c>
      <c r="C12" s="158">
        <f t="shared" ref="C12:C74" si="2">ROUND(IF(A12&lt;$A$3,0,IF(A12&lt;$A$4,(A12-$A$3)*$B$4,IF(A12&lt;$A$5,(A12-$A$4)*$B$5-$D$4,IF(A12&lt;$A$6,(A12-$A$5)*$B$6-$D$5,IF(A12&lt;$A$7,(A12-$A$6)*$B$7-$D$6,IF(A12&lt;$A$8,(A12-$A$7)*$B$8-$D$7,(A12-$A$8)*$B$9-$D$8)))))),2)</f>
        <v>-3850</v>
      </c>
      <c r="D12" s="159">
        <f>ROUND(IF(A12&lt;11000,0,IF(A12&lt;18000,(A12-11000)*-0.25,IF(A12&lt;31000,(A12-18000)*-0.35-1750,IF(A12&lt;60000,(A12-31000)*-0.42-6300,IF(A12&lt;90000,(A12-60000)*-0.48-18480,IF(A12&lt;1000000,(A12-90000)*-0.5-32880,(A12-1000000)*-0.55-487880)))))),2)</f>
        <v>-4200</v>
      </c>
      <c r="E12" s="159">
        <f>G12-D12</f>
        <v>350</v>
      </c>
      <c r="F12" s="159">
        <f t="shared" ref="F12:F74" si="3">ROUND(IF(A12&lt;=11000,0,IF(A12&lt;=25000,(A12-11000)*5110/14000,IF(A12&lt;=60000,(A12-25000)*15125/35000+5110,(A12-60000)*0.5+20235)))*-1,2)</f>
        <v>-5110</v>
      </c>
      <c r="G12" s="160">
        <f>ROUND(IF(A12&lt;11000,0,IF(A12&lt;18000,(A12-11000)*-0.2,IF(A12&lt;31000,(A12-18000)*-0.35-1400,IF(A12&lt;60000,(A12-31000)*-0.42-5950,IF(A12&lt;90000,(A12-60000)*-0.48-18130,IF(A12&lt;1000000,(A12-90000)*-0.5-32530,(A12-1000000)*-0.55-487530)))))),2)</f>
        <v>-3850</v>
      </c>
      <c r="H12" s="172">
        <f t="shared" ref="H12:H74" si="4">ROUND(C12/A12,4)</f>
        <v>-0.154</v>
      </c>
      <c r="I12" s="172">
        <f t="shared" ref="I12:I74" si="5">ROUND(E12/A12,4)</f>
        <v>1.4E-2</v>
      </c>
      <c r="J12" s="161" t="s">
        <v>118</v>
      </c>
      <c r="K12" s="138" t="s">
        <v>116</v>
      </c>
    </row>
    <row r="13" spans="1:11">
      <c r="A13" s="162">
        <v>11000</v>
      </c>
      <c r="B13" s="163">
        <f>ROUND(IF(A13&lt;=11000,0,IF(A13&lt;=18000,"-25 %",IF(A13&lt;=31000,"-35 %",IF(A13&lt;=60000,"-42 %",IF(A13&lt;=90000,"-48 %",IF(A13&lt;=1000000,"-50 %","-55 %")))))),2)</f>
        <v>0</v>
      </c>
      <c r="C13" s="147">
        <f t="shared" si="2"/>
        <v>0</v>
      </c>
      <c r="D13" s="164">
        <f>ROUND(IF(A13&lt;11000,0,IF(A13&lt;18000,(A13-11000)*-0.25,IF(A13&lt;31000,(A13-18000)*-0.35-1750,IF(A13&lt;60000,(A13-31000)*-0.42-6300,IF(A13&lt;90000,(A13-60000)*-0.48-18480,IF(A13&lt;1000000,(A13-90000)*-0.5-32880,(A13-1000000)*-0.55-487880)))))),2)</f>
        <v>0</v>
      </c>
      <c r="E13" s="165">
        <f>C13-F13</f>
        <v>0</v>
      </c>
      <c r="F13" s="164">
        <f>ROUND(IF(A13&lt;=11000,0,IF(A13&lt;=25000,(A13-11000)*5110/14000,IF(A13&lt;=60000,(A13-25000)*15125/35000+5110,(A13-60000)*0.5+20235)))*-1,2)</f>
        <v>0</v>
      </c>
      <c r="G13" s="166">
        <f t="shared" ref="G13:G17" si="6">ROUND(IF(A13&lt;11000,0,IF(A13&lt;18000,(A13-11000)*-0.25,IF(A13&lt;31000,(A13-18000)*-0.35-1750,IF(A13&lt;60000,(A13-31000)*-0.42-6300,IF(A13&lt;90000,(A13-60000)*-0.48-18480,IF(A13&lt;1000000,(A13-90000)*-0.5-32880,(A13-1000000)*-0.55-487880)))))),2)</f>
        <v>0</v>
      </c>
      <c r="H13" s="299">
        <f t="shared" si="4"/>
        <v>0</v>
      </c>
      <c r="I13" s="299">
        <f t="shared" si="5"/>
        <v>0</v>
      </c>
      <c r="K13" s="300" t="s">
        <v>117</v>
      </c>
    </row>
    <row r="14" spans="1:11">
      <c r="A14" s="162">
        <v>12000</v>
      </c>
      <c r="B14" s="163">
        <v>-0.2</v>
      </c>
      <c r="C14" s="147">
        <f t="shared" si="2"/>
        <v>-200</v>
      </c>
      <c r="D14" s="164">
        <f>ROUND(IF(A14&lt;11000,0,IF(A14&lt;18000,(A14-11000)*-0.25,IF(A14&lt;31000,(A14-18000)*-0.35-1750,IF(A14&lt;60000,(A14-31000)*-0.42-6300,IF(A14&lt;90000,(A14-60000)*-0.48-18480,IF(A14&lt;1000000,(A14-90000)*-0.5-32880,(A14-1000000)*-0.55-487880)))))),2)</f>
        <v>-250</v>
      </c>
      <c r="E14" s="165">
        <f t="shared" ref="E14:E74" si="7">C14-D14</f>
        <v>50</v>
      </c>
      <c r="F14" s="164">
        <f t="shared" si="3"/>
        <v>-365</v>
      </c>
      <c r="G14" s="166">
        <f t="shared" si="6"/>
        <v>-250</v>
      </c>
      <c r="H14" s="299">
        <f t="shared" si="4"/>
        <v>-1.67E-2</v>
      </c>
      <c r="I14" s="299">
        <f t="shared" si="5"/>
        <v>4.1999999999999997E-3</v>
      </c>
    </row>
    <row r="15" spans="1:11">
      <c r="A15" s="162">
        <v>13000</v>
      </c>
      <c r="B15" s="163">
        <v>-0.2</v>
      </c>
      <c r="C15" s="147">
        <f t="shared" si="2"/>
        <v>-400</v>
      </c>
      <c r="D15" s="164">
        <f t="shared" ref="D15:D74" si="8">ROUND(IF(A15&lt;11000,0,IF(A15&lt;18000,(A15-11000)*-0.25,IF(A15&lt;31000,(A15-18000)*-0.35-1750,IF(A15&lt;60000,(A15-31000)*-0.42-6300,IF(A15&lt;90000,(A15-60000)*-0.48-18480,IF(A15&lt;1000000,(A15-90000)*-0.5-32880,(A15-1000000)*-0.55-487880)))))),2)</f>
        <v>-500</v>
      </c>
      <c r="E15" s="165">
        <f t="shared" si="7"/>
        <v>100</v>
      </c>
      <c r="F15" s="164">
        <f t="shared" si="3"/>
        <v>-730</v>
      </c>
      <c r="G15" s="166">
        <f t="shared" si="6"/>
        <v>-500</v>
      </c>
      <c r="H15" s="299">
        <f t="shared" si="4"/>
        <v>-3.0800000000000001E-2</v>
      </c>
      <c r="I15" s="299">
        <f t="shared" si="5"/>
        <v>7.7000000000000002E-3</v>
      </c>
    </row>
    <row r="16" spans="1:11">
      <c r="A16" s="162">
        <v>14000</v>
      </c>
      <c r="B16" s="163">
        <v>-0.2</v>
      </c>
      <c r="C16" s="147">
        <f t="shared" si="2"/>
        <v>-600</v>
      </c>
      <c r="D16" s="164">
        <f t="shared" si="8"/>
        <v>-750</v>
      </c>
      <c r="E16" s="165">
        <f t="shared" si="7"/>
        <v>150</v>
      </c>
      <c r="F16" s="164">
        <f t="shared" si="3"/>
        <v>-1095</v>
      </c>
      <c r="G16" s="166">
        <f t="shared" si="6"/>
        <v>-750</v>
      </c>
      <c r="H16" s="299">
        <f t="shared" si="4"/>
        <v>-4.2900000000000001E-2</v>
      </c>
      <c r="I16" s="299">
        <f t="shared" si="5"/>
        <v>1.0699999999999999E-2</v>
      </c>
    </row>
    <row r="17" spans="1:9">
      <c r="A17" s="162">
        <v>15000</v>
      </c>
      <c r="B17" s="163">
        <v>-0.2</v>
      </c>
      <c r="C17" s="147">
        <f t="shared" si="2"/>
        <v>-800</v>
      </c>
      <c r="D17" s="164">
        <f t="shared" si="8"/>
        <v>-1000</v>
      </c>
      <c r="E17" s="165">
        <f t="shared" si="7"/>
        <v>200</v>
      </c>
      <c r="F17" s="164">
        <f t="shared" si="3"/>
        <v>-1460</v>
      </c>
      <c r="G17" s="166">
        <f t="shared" si="6"/>
        <v>-1000</v>
      </c>
      <c r="H17" s="299">
        <f t="shared" si="4"/>
        <v>-5.33E-2</v>
      </c>
      <c r="I17" s="299">
        <f t="shared" si="5"/>
        <v>1.3299999999999999E-2</v>
      </c>
    </row>
    <row r="18" spans="1:9">
      <c r="A18" s="162">
        <v>16000</v>
      </c>
      <c r="B18" s="163">
        <v>-0.2</v>
      </c>
      <c r="C18" s="147">
        <f t="shared" si="2"/>
        <v>-1000</v>
      </c>
      <c r="D18" s="164">
        <f t="shared" si="8"/>
        <v>-1250</v>
      </c>
      <c r="E18" s="165">
        <f t="shared" si="7"/>
        <v>250</v>
      </c>
      <c r="F18" s="164">
        <f t="shared" si="3"/>
        <v>-1825</v>
      </c>
      <c r="G18" s="166"/>
      <c r="H18" s="299">
        <f t="shared" si="4"/>
        <v>-6.25E-2</v>
      </c>
      <c r="I18" s="299">
        <f t="shared" si="5"/>
        <v>1.5599999999999999E-2</v>
      </c>
    </row>
    <row r="19" spans="1:9">
      <c r="A19" s="162">
        <v>17000</v>
      </c>
      <c r="B19" s="163">
        <v>-0.2</v>
      </c>
      <c r="C19" s="147">
        <f t="shared" si="2"/>
        <v>-1200</v>
      </c>
      <c r="D19" s="164">
        <f t="shared" si="8"/>
        <v>-1500</v>
      </c>
      <c r="E19" s="165">
        <f t="shared" si="7"/>
        <v>300</v>
      </c>
      <c r="F19" s="164">
        <f t="shared" si="3"/>
        <v>-2190</v>
      </c>
      <c r="G19" s="166"/>
      <c r="H19" s="299">
        <f t="shared" si="4"/>
        <v>-7.0599999999999996E-2</v>
      </c>
      <c r="I19" s="299">
        <f t="shared" si="5"/>
        <v>1.7600000000000001E-2</v>
      </c>
    </row>
    <row r="20" spans="1:9">
      <c r="A20" s="162">
        <v>18000</v>
      </c>
      <c r="B20" s="163">
        <v>-0.2</v>
      </c>
      <c r="C20" s="147">
        <f t="shared" si="2"/>
        <v>-1400</v>
      </c>
      <c r="D20" s="164">
        <f t="shared" si="8"/>
        <v>-1750</v>
      </c>
      <c r="E20" s="165">
        <f t="shared" si="7"/>
        <v>350</v>
      </c>
      <c r="F20" s="164">
        <f t="shared" si="3"/>
        <v>-2555</v>
      </c>
      <c r="G20" s="166"/>
      <c r="H20" s="299">
        <f t="shared" si="4"/>
        <v>-7.7799999999999994E-2</v>
      </c>
      <c r="I20" s="299">
        <f t="shared" si="5"/>
        <v>1.9400000000000001E-2</v>
      </c>
    </row>
    <row r="21" spans="1:9">
      <c r="A21" s="162">
        <v>19000</v>
      </c>
      <c r="B21" s="163">
        <f t="shared" ref="B21:B74" si="9">ROUND(IF(A21&lt;=11000,0,IF(A21&lt;=18000,"-25 %",IF(A21&lt;=31000,"-35 %",IF(A21&lt;=60000,"-42 %",IF(A21&lt;=90000,"-48 %",IF(A21&lt;=1000000,"-50 %","-55 %")))))),2)</f>
        <v>-0.35</v>
      </c>
      <c r="C21" s="147">
        <f t="shared" si="2"/>
        <v>-1750</v>
      </c>
      <c r="D21" s="164">
        <f t="shared" si="8"/>
        <v>-2100</v>
      </c>
      <c r="E21" s="165">
        <f t="shared" si="7"/>
        <v>350</v>
      </c>
      <c r="F21" s="164">
        <f t="shared" si="3"/>
        <v>-2920</v>
      </c>
      <c r="G21" s="166">
        <f t="shared" ref="G21:G74" si="10">ROUND(IF(A21&lt;11000,0,IF(A21&lt;18000,(A21-11000)*-0.25,IF(A21&lt;31000,(A21-18000)*-0.35-1750,IF(A21&lt;60000,(A21-31000)*-0.42-6300,IF(A21&lt;90000,(A21-60000)*-0.48-18480,IF(A21&lt;1000000,(A21-90000)*-0.5-32880,(A21-1000000)*-0.55-487880)))))),2)</f>
        <v>-2100</v>
      </c>
      <c r="H21" s="299">
        <f t="shared" si="4"/>
        <v>-9.2100000000000001E-2</v>
      </c>
      <c r="I21" s="299">
        <f t="shared" si="5"/>
        <v>1.84E-2</v>
      </c>
    </row>
    <row r="22" spans="1:9">
      <c r="A22" s="162">
        <v>21000</v>
      </c>
      <c r="B22" s="163">
        <f t="shared" si="9"/>
        <v>-0.35</v>
      </c>
      <c r="C22" s="147">
        <f t="shared" si="2"/>
        <v>-2450</v>
      </c>
      <c r="D22" s="164">
        <f t="shared" si="8"/>
        <v>-2800</v>
      </c>
      <c r="E22" s="165">
        <f t="shared" si="7"/>
        <v>350</v>
      </c>
      <c r="F22" s="164">
        <f t="shared" si="3"/>
        <v>-3650</v>
      </c>
      <c r="G22" s="166">
        <f t="shared" si="10"/>
        <v>-2800</v>
      </c>
      <c r="H22" s="299">
        <f t="shared" si="4"/>
        <v>-0.1167</v>
      </c>
      <c r="I22" s="299">
        <f t="shared" si="5"/>
        <v>1.67E-2</v>
      </c>
    </row>
    <row r="23" spans="1:9">
      <c r="A23" s="162">
        <v>23000</v>
      </c>
      <c r="B23" s="163">
        <f t="shared" si="9"/>
        <v>-0.35</v>
      </c>
      <c r="C23" s="147">
        <f t="shared" si="2"/>
        <v>-3150</v>
      </c>
      <c r="D23" s="164">
        <f t="shared" si="8"/>
        <v>-3500</v>
      </c>
      <c r="E23" s="165">
        <f t="shared" si="7"/>
        <v>350</v>
      </c>
      <c r="F23" s="164">
        <f t="shared" si="3"/>
        <v>-4380</v>
      </c>
      <c r="G23" s="166">
        <f t="shared" si="10"/>
        <v>-3500</v>
      </c>
      <c r="H23" s="299">
        <f t="shared" si="4"/>
        <v>-0.13700000000000001</v>
      </c>
      <c r="I23" s="299">
        <f t="shared" si="5"/>
        <v>1.52E-2</v>
      </c>
    </row>
    <row r="24" spans="1:9">
      <c r="A24" s="162">
        <v>25000</v>
      </c>
      <c r="B24" s="163">
        <f t="shared" si="9"/>
        <v>-0.35</v>
      </c>
      <c r="C24" s="147">
        <f t="shared" si="2"/>
        <v>-3850</v>
      </c>
      <c r="D24" s="164">
        <f t="shared" si="8"/>
        <v>-4200</v>
      </c>
      <c r="E24" s="165">
        <f t="shared" si="7"/>
        <v>350</v>
      </c>
      <c r="F24" s="164">
        <f t="shared" si="3"/>
        <v>-5110</v>
      </c>
      <c r="G24" s="166">
        <f t="shared" si="10"/>
        <v>-4200</v>
      </c>
      <c r="H24" s="299">
        <f t="shared" si="4"/>
        <v>-0.154</v>
      </c>
      <c r="I24" s="299">
        <f t="shared" si="5"/>
        <v>1.4E-2</v>
      </c>
    </row>
    <row r="25" spans="1:9">
      <c r="A25" s="162">
        <v>27000</v>
      </c>
      <c r="B25" s="163">
        <f t="shared" si="9"/>
        <v>-0.35</v>
      </c>
      <c r="C25" s="147">
        <f t="shared" si="2"/>
        <v>-4550</v>
      </c>
      <c r="D25" s="164">
        <f t="shared" si="8"/>
        <v>-4900</v>
      </c>
      <c r="E25" s="165">
        <f t="shared" si="7"/>
        <v>350</v>
      </c>
      <c r="F25" s="164">
        <f t="shared" si="3"/>
        <v>-5974.29</v>
      </c>
      <c r="G25" s="166">
        <f t="shared" si="10"/>
        <v>-4900</v>
      </c>
      <c r="H25" s="299">
        <f t="shared" si="4"/>
        <v>-0.16850000000000001</v>
      </c>
      <c r="I25" s="299">
        <f t="shared" si="5"/>
        <v>1.2999999999999999E-2</v>
      </c>
    </row>
    <row r="26" spans="1:9">
      <c r="A26" s="162">
        <v>29000</v>
      </c>
      <c r="B26" s="163">
        <f t="shared" si="9"/>
        <v>-0.35</v>
      </c>
      <c r="C26" s="147">
        <f t="shared" si="2"/>
        <v>-5250</v>
      </c>
      <c r="D26" s="164">
        <f t="shared" si="8"/>
        <v>-5600</v>
      </c>
      <c r="E26" s="165">
        <f t="shared" si="7"/>
        <v>350</v>
      </c>
      <c r="F26" s="164">
        <f t="shared" si="3"/>
        <v>-6838.57</v>
      </c>
      <c r="G26" s="166">
        <f t="shared" si="10"/>
        <v>-5600</v>
      </c>
      <c r="H26" s="299">
        <f t="shared" si="4"/>
        <v>-0.18099999999999999</v>
      </c>
      <c r="I26" s="299">
        <f t="shared" si="5"/>
        <v>1.21E-2</v>
      </c>
    </row>
    <row r="27" spans="1:9">
      <c r="A27" s="162">
        <v>31000</v>
      </c>
      <c r="B27" s="163">
        <f t="shared" si="9"/>
        <v>-0.35</v>
      </c>
      <c r="C27" s="147">
        <f t="shared" si="2"/>
        <v>-5950</v>
      </c>
      <c r="D27" s="164">
        <f t="shared" si="8"/>
        <v>-6300</v>
      </c>
      <c r="E27" s="165">
        <f t="shared" si="7"/>
        <v>350</v>
      </c>
      <c r="F27" s="164">
        <f t="shared" si="3"/>
        <v>-7702.86</v>
      </c>
      <c r="G27" s="166">
        <f t="shared" si="10"/>
        <v>-6300</v>
      </c>
      <c r="H27" s="299">
        <f t="shared" si="4"/>
        <v>-0.19189999999999999</v>
      </c>
      <c r="I27" s="299">
        <f t="shared" si="5"/>
        <v>1.1299999999999999E-2</v>
      </c>
    </row>
    <row r="28" spans="1:9">
      <c r="A28" s="162">
        <v>32000</v>
      </c>
      <c r="B28" s="163">
        <f t="shared" si="9"/>
        <v>-0.42</v>
      </c>
      <c r="C28" s="147">
        <f t="shared" si="2"/>
        <v>-6370</v>
      </c>
      <c r="D28" s="164">
        <f t="shared" si="8"/>
        <v>-6720</v>
      </c>
      <c r="E28" s="165">
        <f t="shared" si="7"/>
        <v>350</v>
      </c>
      <c r="F28" s="164">
        <f t="shared" si="3"/>
        <v>-8135</v>
      </c>
      <c r="G28" s="166">
        <f t="shared" si="10"/>
        <v>-6720</v>
      </c>
      <c r="H28" s="299">
        <f t="shared" si="4"/>
        <v>-0.1991</v>
      </c>
      <c r="I28" s="299">
        <f t="shared" si="5"/>
        <v>1.09E-2</v>
      </c>
    </row>
    <row r="29" spans="1:9">
      <c r="A29" s="162">
        <v>34000</v>
      </c>
      <c r="B29" s="163">
        <f t="shared" si="9"/>
        <v>-0.42</v>
      </c>
      <c r="C29" s="147">
        <f t="shared" si="2"/>
        <v>-7210</v>
      </c>
      <c r="D29" s="164">
        <f t="shared" si="8"/>
        <v>-7560</v>
      </c>
      <c r="E29" s="165">
        <f t="shared" si="7"/>
        <v>350</v>
      </c>
      <c r="F29" s="164">
        <f t="shared" si="3"/>
        <v>-8999.2900000000009</v>
      </c>
      <c r="G29" s="166">
        <f t="shared" si="10"/>
        <v>-7560</v>
      </c>
      <c r="H29" s="299">
        <f t="shared" si="4"/>
        <v>-0.21210000000000001</v>
      </c>
      <c r="I29" s="299">
        <f t="shared" si="5"/>
        <v>1.03E-2</v>
      </c>
    </row>
    <row r="30" spans="1:9">
      <c r="A30" s="162">
        <v>36000</v>
      </c>
      <c r="B30" s="163">
        <f t="shared" si="9"/>
        <v>-0.42</v>
      </c>
      <c r="C30" s="147">
        <f t="shared" si="2"/>
        <v>-8050</v>
      </c>
      <c r="D30" s="164">
        <f t="shared" si="8"/>
        <v>-8400</v>
      </c>
      <c r="E30" s="165">
        <f t="shared" si="7"/>
        <v>350</v>
      </c>
      <c r="F30" s="164">
        <f t="shared" si="3"/>
        <v>-9863.57</v>
      </c>
      <c r="G30" s="166">
        <f t="shared" si="10"/>
        <v>-8400</v>
      </c>
      <c r="H30" s="299">
        <f t="shared" si="4"/>
        <v>-0.22359999999999999</v>
      </c>
      <c r="I30" s="299">
        <f t="shared" si="5"/>
        <v>9.7000000000000003E-3</v>
      </c>
    </row>
    <row r="31" spans="1:9">
      <c r="A31" s="162">
        <v>38000</v>
      </c>
      <c r="B31" s="163">
        <f t="shared" si="9"/>
        <v>-0.42</v>
      </c>
      <c r="C31" s="147">
        <f t="shared" si="2"/>
        <v>-8890</v>
      </c>
      <c r="D31" s="164">
        <f t="shared" si="8"/>
        <v>-9240</v>
      </c>
      <c r="E31" s="165">
        <f t="shared" si="7"/>
        <v>350</v>
      </c>
      <c r="F31" s="164">
        <f t="shared" si="3"/>
        <v>-10727.86</v>
      </c>
      <c r="G31" s="166">
        <f t="shared" si="10"/>
        <v>-9240</v>
      </c>
      <c r="H31" s="299">
        <f t="shared" si="4"/>
        <v>-0.2339</v>
      </c>
      <c r="I31" s="299">
        <f t="shared" si="5"/>
        <v>9.1999999999999998E-3</v>
      </c>
    </row>
    <row r="32" spans="1:9" s="167" customFormat="1">
      <c r="A32" s="162">
        <v>40000</v>
      </c>
      <c r="B32" s="163">
        <f t="shared" si="9"/>
        <v>-0.42</v>
      </c>
      <c r="C32" s="147">
        <f t="shared" si="2"/>
        <v>-9730</v>
      </c>
      <c r="D32" s="164">
        <f t="shared" si="8"/>
        <v>-10080</v>
      </c>
      <c r="E32" s="165">
        <f t="shared" si="7"/>
        <v>350</v>
      </c>
      <c r="F32" s="164">
        <f t="shared" si="3"/>
        <v>-11592.14</v>
      </c>
      <c r="G32" s="166">
        <f t="shared" si="10"/>
        <v>-10080</v>
      </c>
      <c r="H32" s="299">
        <f t="shared" si="4"/>
        <v>-0.24329999999999999</v>
      </c>
      <c r="I32" s="299">
        <f t="shared" si="5"/>
        <v>8.8000000000000005E-3</v>
      </c>
    </row>
    <row r="33" spans="1:9" s="167" customFormat="1">
      <c r="A33" s="162">
        <v>45000</v>
      </c>
      <c r="B33" s="163">
        <f t="shared" si="9"/>
        <v>-0.42</v>
      </c>
      <c r="C33" s="147">
        <f t="shared" si="2"/>
        <v>-11830</v>
      </c>
      <c r="D33" s="164">
        <f t="shared" si="8"/>
        <v>-12180</v>
      </c>
      <c r="E33" s="165">
        <f t="shared" si="7"/>
        <v>350</v>
      </c>
      <c r="F33" s="164">
        <f t="shared" si="3"/>
        <v>-13752.86</v>
      </c>
      <c r="G33" s="166">
        <f t="shared" si="10"/>
        <v>-12180</v>
      </c>
      <c r="H33" s="299">
        <f t="shared" si="4"/>
        <v>-0.26290000000000002</v>
      </c>
      <c r="I33" s="299">
        <f t="shared" si="5"/>
        <v>7.7999999999999996E-3</v>
      </c>
    </row>
    <row r="34" spans="1:9" s="167" customFormat="1">
      <c r="A34" s="162">
        <v>50000</v>
      </c>
      <c r="B34" s="163">
        <f t="shared" si="9"/>
        <v>-0.42</v>
      </c>
      <c r="C34" s="147">
        <f t="shared" si="2"/>
        <v>-13930</v>
      </c>
      <c r="D34" s="164">
        <f t="shared" si="8"/>
        <v>-14280</v>
      </c>
      <c r="E34" s="165">
        <f t="shared" si="7"/>
        <v>350</v>
      </c>
      <c r="F34" s="164">
        <f t="shared" si="3"/>
        <v>-15913.57</v>
      </c>
      <c r="G34" s="166">
        <f t="shared" si="10"/>
        <v>-14280</v>
      </c>
      <c r="H34" s="299">
        <f t="shared" si="4"/>
        <v>-0.27860000000000001</v>
      </c>
      <c r="I34" s="299">
        <f t="shared" si="5"/>
        <v>7.0000000000000001E-3</v>
      </c>
    </row>
    <row r="35" spans="1:9" s="167" customFormat="1">
      <c r="A35" s="162">
        <v>55000</v>
      </c>
      <c r="B35" s="163">
        <f t="shared" si="9"/>
        <v>-0.42</v>
      </c>
      <c r="C35" s="147">
        <f t="shared" si="2"/>
        <v>-16030</v>
      </c>
      <c r="D35" s="164">
        <f t="shared" si="8"/>
        <v>-16380</v>
      </c>
      <c r="E35" s="165">
        <f t="shared" si="7"/>
        <v>350</v>
      </c>
      <c r="F35" s="164">
        <f t="shared" si="3"/>
        <v>-18074.29</v>
      </c>
      <c r="G35" s="166">
        <f t="shared" si="10"/>
        <v>-16380</v>
      </c>
      <c r="H35" s="299">
        <f t="shared" si="4"/>
        <v>-0.29149999999999998</v>
      </c>
      <c r="I35" s="299">
        <f t="shared" si="5"/>
        <v>6.4000000000000003E-3</v>
      </c>
    </row>
    <row r="36" spans="1:9" s="167" customFormat="1">
      <c r="A36" s="162">
        <v>60000</v>
      </c>
      <c r="B36" s="163">
        <f t="shared" si="9"/>
        <v>-0.42</v>
      </c>
      <c r="C36" s="147">
        <f t="shared" si="2"/>
        <v>-18130</v>
      </c>
      <c r="D36" s="164">
        <f t="shared" si="8"/>
        <v>-18480</v>
      </c>
      <c r="E36" s="165">
        <f t="shared" si="7"/>
        <v>350</v>
      </c>
      <c r="F36" s="164">
        <f t="shared" si="3"/>
        <v>-20235</v>
      </c>
      <c r="G36" s="166">
        <f t="shared" si="10"/>
        <v>-18480</v>
      </c>
      <c r="H36" s="299">
        <f t="shared" si="4"/>
        <v>-0.30220000000000002</v>
      </c>
      <c r="I36" s="299">
        <f t="shared" si="5"/>
        <v>5.7999999999999996E-3</v>
      </c>
    </row>
    <row r="37" spans="1:9" s="167" customFormat="1">
      <c r="A37" s="162">
        <v>65000</v>
      </c>
      <c r="B37" s="163">
        <f t="shared" si="9"/>
        <v>-0.48</v>
      </c>
      <c r="C37" s="147">
        <f t="shared" si="2"/>
        <v>-20530</v>
      </c>
      <c r="D37" s="164">
        <f t="shared" si="8"/>
        <v>-20880</v>
      </c>
      <c r="E37" s="165">
        <f t="shared" si="7"/>
        <v>350</v>
      </c>
      <c r="F37" s="164">
        <f t="shared" si="3"/>
        <v>-22735</v>
      </c>
      <c r="G37" s="166">
        <f t="shared" si="10"/>
        <v>-20880</v>
      </c>
      <c r="H37" s="299">
        <f t="shared" si="4"/>
        <v>-0.31580000000000003</v>
      </c>
      <c r="I37" s="299">
        <f t="shared" si="5"/>
        <v>5.4000000000000003E-3</v>
      </c>
    </row>
    <row r="38" spans="1:9" s="167" customFormat="1">
      <c r="A38" s="162">
        <v>70000</v>
      </c>
      <c r="B38" s="163">
        <f t="shared" si="9"/>
        <v>-0.48</v>
      </c>
      <c r="C38" s="147">
        <f t="shared" si="2"/>
        <v>-22930</v>
      </c>
      <c r="D38" s="164">
        <f t="shared" si="8"/>
        <v>-23280</v>
      </c>
      <c r="E38" s="165">
        <f t="shared" si="7"/>
        <v>350</v>
      </c>
      <c r="F38" s="164">
        <f t="shared" si="3"/>
        <v>-25235</v>
      </c>
      <c r="G38" s="166">
        <f t="shared" si="10"/>
        <v>-23280</v>
      </c>
      <c r="H38" s="299">
        <f t="shared" si="4"/>
        <v>-0.3276</v>
      </c>
      <c r="I38" s="299">
        <f t="shared" si="5"/>
        <v>5.0000000000000001E-3</v>
      </c>
    </row>
    <row r="39" spans="1:9" s="167" customFormat="1">
      <c r="A39" s="162">
        <v>75000</v>
      </c>
      <c r="B39" s="163">
        <f t="shared" si="9"/>
        <v>-0.48</v>
      </c>
      <c r="C39" s="147">
        <f t="shared" si="2"/>
        <v>-25330</v>
      </c>
      <c r="D39" s="164">
        <f t="shared" si="8"/>
        <v>-25680</v>
      </c>
      <c r="E39" s="165">
        <f t="shared" si="7"/>
        <v>350</v>
      </c>
      <c r="F39" s="164">
        <f t="shared" si="3"/>
        <v>-27735</v>
      </c>
      <c r="G39" s="166">
        <f t="shared" si="10"/>
        <v>-25680</v>
      </c>
      <c r="H39" s="299">
        <f t="shared" si="4"/>
        <v>-0.3377</v>
      </c>
      <c r="I39" s="299">
        <f t="shared" si="5"/>
        <v>4.7000000000000002E-3</v>
      </c>
    </row>
    <row r="40" spans="1:9" s="167" customFormat="1">
      <c r="A40" s="162">
        <v>80000</v>
      </c>
      <c r="B40" s="163">
        <f t="shared" si="9"/>
        <v>-0.48</v>
      </c>
      <c r="C40" s="147">
        <f t="shared" si="2"/>
        <v>-27730</v>
      </c>
      <c r="D40" s="164">
        <f t="shared" si="8"/>
        <v>-28080</v>
      </c>
      <c r="E40" s="165">
        <f t="shared" si="7"/>
        <v>350</v>
      </c>
      <c r="F40" s="164">
        <f t="shared" si="3"/>
        <v>-30235</v>
      </c>
      <c r="G40" s="166">
        <f t="shared" si="10"/>
        <v>-28080</v>
      </c>
      <c r="H40" s="299">
        <f t="shared" si="4"/>
        <v>-0.34660000000000002</v>
      </c>
      <c r="I40" s="299">
        <f t="shared" si="5"/>
        <v>4.4000000000000003E-3</v>
      </c>
    </row>
    <row r="41" spans="1:9" s="167" customFormat="1">
      <c r="A41" s="162">
        <v>85000</v>
      </c>
      <c r="B41" s="163">
        <f t="shared" si="9"/>
        <v>-0.48</v>
      </c>
      <c r="C41" s="147">
        <f t="shared" si="2"/>
        <v>-30130</v>
      </c>
      <c r="D41" s="164">
        <f t="shared" si="8"/>
        <v>-30480</v>
      </c>
      <c r="E41" s="165">
        <f t="shared" si="7"/>
        <v>350</v>
      </c>
      <c r="F41" s="164">
        <f t="shared" si="3"/>
        <v>-32735</v>
      </c>
      <c r="G41" s="166">
        <f t="shared" si="10"/>
        <v>-30480</v>
      </c>
      <c r="H41" s="299">
        <f t="shared" si="4"/>
        <v>-0.35449999999999998</v>
      </c>
      <c r="I41" s="299">
        <f t="shared" si="5"/>
        <v>4.1000000000000003E-3</v>
      </c>
    </row>
    <row r="42" spans="1:9" s="167" customFormat="1">
      <c r="A42" s="162">
        <v>90000</v>
      </c>
      <c r="B42" s="163">
        <f t="shared" si="9"/>
        <v>-0.48</v>
      </c>
      <c r="C42" s="147">
        <f t="shared" si="2"/>
        <v>-32530</v>
      </c>
      <c r="D42" s="164">
        <f t="shared" si="8"/>
        <v>-32880</v>
      </c>
      <c r="E42" s="165">
        <f t="shared" si="7"/>
        <v>350</v>
      </c>
      <c r="F42" s="164">
        <f t="shared" si="3"/>
        <v>-35235</v>
      </c>
      <c r="G42" s="166">
        <f t="shared" si="10"/>
        <v>-32880</v>
      </c>
      <c r="H42" s="299">
        <f t="shared" si="4"/>
        <v>-0.3614</v>
      </c>
      <c r="I42" s="299">
        <f t="shared" si="5"/>
        <v>3.8999999999999998E-3</v>
      </c>
    </row>
    <row r="43" spans="1:9">
      <c r="A43" s="162">
        <v>95000</v>
      </c>
      <c r="B43" s="163">
        <f t="shared" si="9"/>
        <v>-0.5</v>
      </c>
      <c r="C43" s="147">
        <f t="shared" si="2"/>
        <v>-35030</v>
      </c>
      <c r="D43" s="164">
        <f t="shared" si="8"/>
        <v>-35380</v>
      </c>
      <c r="E43" s="165">
        <f t="shared" si="7"/>
        <v>350</v>
      </c>
      <c r="F43" s="164">
        <f t="shared" si="3"/>
        <v>-37735</v>
      </c>
      <c r="G43" s="166">
        <f t="shared" si="10"/>
        <v>-35380</v>
      </c>
      <c r="H43" s="299">
        <f t="shared" si="4"/>
        <v>-0.36870000000000003</v>
      </c>
      <c r="I43" s="299">
        <f t="shared" si="5"/>
        <v>3.7000000000000002E-3</v>
      </c>
    </row>
    <row r="44" spans="1:9">
      <c r="A44" s="162">
        <v>100000</v>
      </c>
      <c r="B44" s="163">
        <f t="shared" si="9"/>
        <v>-0.5</v>
      </c>
      <c r="C44" s="147">
        <f t="shared" si="2"/>
        <v>-37530</v>
      </c>
      <c r="D44" s="164">
        <f t="shared" si="8"/>
        <v>-37880</v>
      </c>
      <c r="E44" s="165">
        <f t="shared" si="7"/>
        <v>350</v>
      </c>
      <c r="F44" s="164">
        <f t="shared" si="3"/>
        <v>-40235</v>
      </c>
      <c r="G44" s="166">
        <f t="shared" si="10"/>
        <v>-37880</v>
      </c>
      <c r="H44" s="299">
        <f t="shared" si="4"/>
        <v>-0.37530000000000002</v>
      </c>
      <c r="I44" s="299">
        <f t="shared" si="5"/>
        <v>3.5000000000000001E-3</v>
      </c>
    </row>
    <row r="45" spans="1:9">
      <c r="A45" s="162">
        <v>200000</v>
      </c>
      <c r="B45" s="163">
        <f t="shared" si="9"/>
        <v>-0.5</v>
      </c>
      <c r="C45" s="147">
        <f t="shared" si="2"/>
        <v>-87530</v>
      </c>
      <c r="D45" s="164">
        <f t="shared" si="8"/>
        <v>-87880</v>
      </c>
      <c r="E45" s="165">
        <f t="shared" si="7"/>
        <v>350</v>
      </c>
      <c r="F45" s="164">
        <f t="shared" si="3"/>
        <v>-90235</v>
      </c>
      <c r="G45" s="166">
        <f t="shared" si="10"/>
        <v>-87880</v>
      </c>
      <c r="H45" s="299">
        <f t="shared" si="4"/>
        <v>-0.43769999999999998</v>
      </c>
      <c r="I45" s="299">
        <f t="shared" si="5"/>
        <v>1.8E-3</v>
      </c>
    </row>
    <row r="46" spans="1:9">
      <c r="A46" s="162">
        <v>300000</v>
      </c>
      <c r="B46" s="163">
        <f t="shared" si="9"/>
        <v>-0.5</v>
      </c>
      <c r="C46" s="147">
        <f t="shared" si="2"/>
        <v>-137530</v>
      </c>
      <c r="D46" s="164">
        <f t="shared" si="8"/>
        <v>-137880</v>
      </c>
      <c r="E46" s="165">
        <f t="shared" si="7"/>
        <v>350</v>
      </c>
      <c r="F46" s="164">
        <f t="shared" si="3"/>
        <v>-140235</v>
      </c>
      <c r="G46" s="166">
        <f t="shared" si="10"/>
        <v>-137880</v>
      </c>
      <c r="H46" s="299">
        <f t="shared" si="4"/>
        <v>-0.45839999999999997</v>
      </c>
      <c r="I46" s="299">
        <f t="shared" si="5"/>
        <v>1.1999999999999999E-3</v>
      </c>
    </row>
    <row r="47" spans="1:9">
      <c r="A47" s="162">
        <v>400000</v>
      </c>
      <c r="B47" s="163">
        <f t="shared" si="9"/>
        <v>-0.5</v>
      </c>
      <c r="C47" s="147">
        <f t="shared" si="2"/>
        <v>-187530</v>
      </c>
      <c r="D47" s="164">
        <f t="shared" si="8"/>
        <v>-187880</v>
      </c>
      <c r="E47" s="165">
        <f t="shared" si="7"/>
        <v>350</v>
      </c>
      <c r="F47" s="164">
        <f t="shared" si="3"/>
        <v>-190235</v>
      </c>
      <c r="G47" s="166">
        <f t="shared" si="10"/>
        <v>-187880</v>
      </c>
      <c r="H47" s="299">
        <f t="shared" si="4"/>
        <v>-0.46879999999999999</v>
      </c>
      <c r="I47" s="299">
        <f t="shared" si="5"/>
        <v>8.9999999999999998E-4</v>
      </c>
    </row>
    <row r="48" spans="1:9">
      <c r="A48" s="162">
        <v>500000</v>
      </c>
      <c r="B48" s="163">
        <f t="shared" si="9"/>
        <v>-0.5</v>
      </c>
      <c r="C48" s="147">
        <f t="shared" si="2"/>
        <v>-237530</v>
      </c>
      <c r="D48" s="164">
        <f t="shared" si="8"/>
        <v>-237880</v>
      </c>
      <c r="E48" s="165">
        <f t="shared" si="7"/>
        <v>350</v>
      </c>
      <c r="F48" s="164">
        <f t="shared" si="3"/>
        <v>-240235</v>
      </c>
      <c r="G48" s="166">
        <f t="shared" si="10"/>
        <v>-237880</v>
      </c>
      <c r="H48" s="299">
        <f t="shared" si="4"/>
        <v>-0.47510000000000002</v>
      </c>
      <c r="I48" s="299">
        <f t="shared" si="5"/>
        <v>6.9999999999999999E-4</v>
      </c>
    </row>
    <row r="49" spans="1:9">
      <c r="A49" s="162">
        <v>600000</v>
      </c>
      <c r="B49" s="163">
        <f t="shared" si="9"/>
        <v>-0.5</v>
      </c>
      <c r="C49" s="147">
        <f t="shared" si="2"/>
        <v>-287530</v>
      </c>
      <c r="D49" s="164">
        <f t="shared" si="8"/>
        <v>-287880</v>
      </c>
      <c r="E49" s="165">
        <f t="shared" si="7"/>
        <v>350</v>
      </c>
      <c r="F49" s="164">
        <f t="shared" si="3"/>
        <v>-290235</v>
      </c>
      <c r="G49" s="166">
        <f t="shared" si="10"/>
        <v>-287880</v>
      </c>
      <c r="H49" s="299">
        <f t="shared" si="4"/>
        <v>-0.47920000000000001</v>
      </c>
      <c r="I49" s="299">
        <f t="shared" si="5"/>
        <v>5.9999999999999995E-4</v>
      </c>
    </row>
    <row r="50" spans="1:9">
      <c r="A50" s="162">
        <v>700000</v>
      </c>
      <c r="B50" s="163">
        <f t="shared" si="9"/>
        <v>-0.5</v>
      </c>
      <c r="C50" s="147">
        <f t="shared" si="2"/>
        <v>-337530</v>
      </c>
      <c r="D50" s="164">
        <f t="shared" si="8"/>
        <v>-337880</v>
      </c>
      <c r="E50" s="165">
        <f t="shared" si="7"/>
        <v>350</v>
      </c>
      <c r="F50" s="164">
        <f t="shared" si="3"/>
        <v>-340235</v>
      </c>
      <c r="G50" s="166">
        <f t="shared" si="10"/>
        <v>-337880</v>
      </c>
      <c r="H50" s="299">
        <f t="shared" si="4"/>
        <v>-0.48220000000000002</v>
      </c>
      <c r="I50" s="299">
        <f t="shared" si="5"/>
        <v>5.0000000000000001E-4</v>
      </c>
    </row>
    <row r="51" spans="1:9">
      <c r="A51" s="162">
        <v>800000</v>
      </c>
      <c r="B51" s="163">
        <f t="shared" si="9"/>
        <v>-0.5</v>
      </c>
      <c r="C51" s="147">
        <f t="shared" si="2"/>
        <v>-387530</v>
      </c>
      <c r="D51" s="164">
        <f t="shared" si="8"/>
        <v>-387880</v>
      </c>
      <c r="E51" s="165">
        <f t="shared" si="7"/>
        <v>350</v>
      </c>
      <c r="F51" s="164">
        <f t="shared" si="3"/>
        <v>-390235</v>
      </c>
      <c r="G51" s="166">
        <f t="shared" si="10"/>
        <v>-387880</v>
      </c>
      <c r="H51" s="299">
        <f t="shared" si="4"/>
        <v>-0.4844</v>
      </c>
      <c r="I51" s="299">
        <f t="shared" si="5"/>
        <v>4.0000000000000002E-4</v>
      </c>
    </row>
    <row r="52" spans="1:9">
      <c r="A52" s="162">
        <v>900000</v>
      </c>
      <c r="B52" s="163">
        <f t="shared" si="9"/>
        <v>-0.5</v>
      </c>
      <c r="C52" s="147">
        <f t="shared" si="2"/>
        <v>-437530</v>
      </c>
      <c r="D52" s="164">
        <f t="shared" si="8"/>
        <v>-437880</v>
      </c>
      <c r="E52" s="165">
        <f t="shared" si="7"/>
        <v>350</v>
      </c>
      <c r="F52" s="164">
        <f t="shared" si="3"/>
        <v>-440235</v>
      </c>
      <c r="G52" s="166">
        <f t="shared" si="10"/>
        <v>-437880</v>
      </c>
      <c r="H52" s="299">
        <f t="shared" si="4"/>
        <v>-0.48609999999999998</v>
      </c>
      <c r="I52" s="299">
        <f t="shared" si="5"/>
        <v>4.0000000000000002E-4</v>
      </c>
    </row>
    <row r="53" spans="1:9">
      <c r="A53" s="162">
        <v>1000000</v>
      </c>
      <c r="B53" s="163">
        <f t="shared" si="9"/>
        <v>-0.5</v>
      </c>
      <c r="C53" s="147">
        <f t="shared" si="2"/>
        <v>-487530</v>
      </c>
      <c r="D53" s="164">
        <f t="shared" si="8"/>
        <v>-487880</v>
      </c>
      <c r="E53" s="165">
        <f t="shared" si="7"/>
        <v>350</v>
      </c>
      <c r="F53" s="164">
        <f t="shared" si="3"/>
        <v>-490235</v>
      </c>
      <c r="G53" s="166">
        <f t="shared" si="10"/>
        <v>-487880</v>
      </c>
      <c r="H53" s="299">
        <f t="shared" si="4"/>
        <v>-0.48749999999999999</v>
      </c>
      <c r="I53" s="299">
        <f t="shared" si="5"/>
        <v>4.0000000000000002E-4</v>
      </c>
    </row>
    <row r="54" spans="1:9">
      <c r="A54" s="162">
        <v>1010000</v>
      </c>
      <c r="B54" s="163">
        <f t="shared" si="9"/>
        <v>-0.55000000000000004</v>
      </c>
      <c r="C54" s="147">
        <f t="shared" si="2"/>
        <v>-493030</v>
      </c>
      <c r="D54" s="164">
        <f t="shared" si="8"/>
        <v>-493380</v>
      </c>
      <c r="E54" s="165">
        <f t="shared" si="7"/>
        <v>350</v>
      </c>
      <c r="F54" s="164">
        <f t="shared" si="3"/>
        <v>-495235</v>
      </c>
      <c r="G54" s="166">
        <f t="shared" si="10"/>
        <v>-493380</v>
      </c>
      <c r="H54" s="299">
        <f t="shared" si="4"/>
        <v>-0.48809999999999998</v>
      </c>
      <c r="I54" s="299">
        <f t="shared" si="5"/>
        <v>2.9999999999999997E-4</v>
      </c>
    </row>
    <row r="55" spans="1:9">
      <c r="A55" s="162">
        <v>1020000</v>
      </c>
      <c r="B55" s="163">
        <f t="shared" si="9"/>
        <v>-0.55000000000000004</v>
      </c>
      <c r="C55" s="147">
        <f t="shared" si="2"/>
        <v>-498530</v>
      </c>
      <c r="D55" s="164">
        <f t="shared" si="8"/>
        <v>-498880</v>
      </c>
      <c r="E55" s="165">
        <f t="shared" si="7"/>
        <v>350</v>
      </c>
      <c r="F55" s="164">
        <f t="shared" si="3"/>
        <v>-500235</v>
      </c>
      <c r="G55" s="166">
        <f t="shared" si="10"/>
        <v>-498880</v>
      </c>
      <c r="H55" s="299">
        <f t="shared" si="4"/>
        <v>-0.48880000000000001</v>
      </c>
      <c r="I55" s="299">
        <f t="shared" si="5"/>
        <v>2.9999999999999997E-4</v>
      </c>
    </row>
    <row r="56" spans="1:9">
      <c r="A56" s="162">
        <v>1030000</v>
      </c>
      <c r="B56" s="163">
        <f t="shared" si="9"/>
        <v>-0.55000000000000004</v>
      </c>
      <c r="C56" s="147">
        <f t="shared" si="2"/>
        <v>-504030</v>
      </c>
      <c r="D56" s="164">
        <f t="shared" si="8"/>
        <v>-504380</v>
      </c>
      <c r="E56" s="165">
        <f t="shared" si="7"/>
        <v>350</v>
      </c>
      <c r="F56" s="164">
        <f t="shared" si="3"/>
        <v>-505235</v>
      </c>
      <c r="G56" s="166">
        <f t="shared" si="10"/>
        <v>-504380</v>
      </c>
      <c r="H56" s="299">
        <f t="shared" si="4"/>
        <v>-0.48930000000000001</v>
      </c>
      <c r="I56" s="299">
        <f t="shared" si="5"/>
        <v>2.9999999999999997E-4</v>
      </c>
    </row>
    <row r="57" spans="1:9">
      <c r="A57" s="162">
        <v>1040000</v>
      </c>
      <c r="B57" s="163">
        <f t="shared" si="9"/>
        <v>-0.55000000000000004</v>
      </c>
      <c r="C57" s="147">
        <f t="shared" si="2"/>
        <v>-509530</v>
      </c>
      <c r="D57" s="164">
        <f t="shared" si="8"/>
        <v>-509880</v>
      </c>
      <c r="E57" s="165">
        <f t="shared" si="7"/>
        <v>350</v>
      </c>
      <c r="F57" s="164">
        <f t="shared" si="3"/>
        <v>-510235</v>
      </c>
      <c r="G57" s="166">
        <f t="shared" si="10"/>
        <v>-509880</v>
      </c>
      <c r="H57" s="299">
        <f t="shared" si="4"/>
        <v>-0.4899</v>
      </c>
      <c r="I57" s="299">
        <f t="shared" si="5"/>
        <v>2.9999999999999997E-4</v>
      </c>
    </row>
    <row r="58" spans="1:9">
      <c r="A58" s="162">
        <v>1047100</v>
      </c>
      <c r="B58" s="163">
        <f t="shared" si="9"/>
        <v>-0.55000000000000004</v>
      </c>
      <c r="C58" s="147">
        <f t="shared" si="2"/>
        <v>-513435</v>
      </c>
      <c r="D58" s="164">
        <f t="shared" si="8"/>
        <v>-513785</v>
      </c>
      <c r="E58" s="165">
        <f t="shared" si="7"/>
        <v>350</v>
      </c>
      <c r="F58" s="164">
        <f t="shared" si="3"/>
        <v>-513785</v>
      </c>
      <c r="G58" s="166">
        <f t="shared" si="10"/>
        <v>-513785</v>
      </c>
      <c r="H58" s="299">
        <f t="shared" si="4"/>
        <v>-0.49030000000000001</v>
      </c>
      <c r="I58" s="299">
        <f t="shared" si="5"/>
        <v>2.9999999999999997E-4</v>
      </c>
    </row>
    <row r="59" spans="1:9">
      <c r="A59" s="162">
        <v>1050000</v>
      </c>
      <c r="B59" s="163">
        <f t="shared" si="9"/>
        <v>-0.55000000000000004</v>
      </c>
      <c r="C59" s="147">
        <f t="shared" si="2"/>
        <v>-515030</v>
      </c>
      <c r="D59" s="164">
        <f t="shared" si="8"/>
        <v>-515380</v>
      </c>
      <c r="E59" s="165">
        <f t="shared" si="7"/>
        <v>350</v>
      </c>
      <c r="F59" s="164">
        <f t="shared" si="3"/>
        <v>-515235</v>
      </c>
      <c r="G59" s="166">
        <f t="shared" si="10"/>
        <v>-515380</v>
      </c>
      <c r="H59" s="299">
        <f t="shared" si="4"/>
        <v>-0.49049999999999999</v>
      </c>
      <c r="I59" s="299">
        <f t="shared" si="5"/>
        <v>2.9999999999999997E-4</v>
      </c>
    </row>
    <row r="60" spans="1:9">
      <c r="A60" s="162">
        <v>1060000</v>
      </c>
      <c r="B60" s="163">
        <f t="shared" si="9"/>
        <v>-0.55000000000000004</v>
      </c>
      <c r="C60" s="147">
        <f t="shared" si="2"/>
        <v>-520530</v>
      </c>
      <c r="D60" s="164">
        <f t="shared" si="8"/>
        <v>-520880</v>
      </c>
      <c r="E60" s="165">
        <f t="shared" si="7"/>
        <v>350</v>
      </c>
      <c r="F60" s="164">
        <f t="shared" si="3"/>
        <v>-520235</v>
      </c>
      <c r="G60" s="166">
        <f t="shared" si="10"/>
        <v>-520880</v>
      </c>
      <c r="H60" s="299">
        <f t="shared" si="4"/>
        <v>-0.49109999999999998</v>
      </c>
      <c r="I60" s="299">
        <f t="shared" si="5"/>
        <v>2.9999999999999997E-4</v>
      </c>
    </row>
    <row r="61" spans="1:9">
      <c r="A61" s="162">
        <v>1070000</v>
      </c>
      <c r="B61" s="163">
        <f t="shared" si="9"/>
        <v>-0.55000000000000004</v>
      </c>
      <c r="C61" s="147">
        <f t="shared" si="2"/>
        <v>-526030</v>
      </c>
      <c r="D61" s="164">
        <f t="shared" si="8"/>
        <v>-526380</v>
      </c>
      <c r="E61" s="165">
        <f t="shared" si="7"/>
        <v>350</v>
      </c>
      <c r="F61" s="164">
        <f t="shared" si="3"/>
        <v>-525235</v>
      </c>
      <c r="G61" s="166">
        <f t="shared" si="10"/>
        <v>-526380</v>
      </c>
      <c r="H61" s="299">
        <f t="shared" si="4"/>
        <v>-0.49159999999999998</v>
      </c>
      <c r="I61" s="299">
        <f t="shared" si="5"/>
        <v>2.9999999999999997E-4</v>
      </c>
    </row>
    <row r="62" spans="1:9">
      <c r="A62" s="162">
        <v>1080000</v>
      </c>
      <c r="B62" s="163">
        <f t="shared" si="9"/>
        <v>-0.55000000000000004</v>
      </c>
      <c r="C62" s="147">
        <f t="shared" si="2"/>
        <v>-531530</v>
      </c>
      <c r="D62" s="164">
        <f t="shared" si="8"/>
        <v>-531880</v>
      </c>
      <c r="E62" s="165">
        <f t="shared" si="7"/>
        <v>350</v>
      </c>
      <c r="F62" s="164">
        <f t="shared" si="3"/>
        <v>-530235</v>
      </c>
      <c r="G62" s="166">
        <f t="shared" si="10"/>
        <v>-531880</v>
      </c>
      <c r="H62" s="299">
        <f t="shared" si="4"/>
        <v>-0.49220000000000003</v>
      </c>
      <c r="I62" s="299">
        <f t="shared" si="5"/>
        <v>2.9999999999999997E-4</v>
      </c>
    </row>
    <row r="63" spans="1:9">
      <c r="A63" s="162">
        <v>1090000</v>
      </c>
      <c r="B63" s="163">
        <f t="shared" si="9"/>
        <v>-0.55000000000000004</v>
      </c>
      <c r="C63" s="147">
        <f t="shared" si="2"/>
        <v>-537030</v>
      </c>
      <c r="D63" s="164">
        <f t="shared" si="8"/>
        <v>-537380</v>
      </c>
      <c r="E63" s="165">
        <f t="shared" si="7"/>
        <v>350</v>
      </c>
      <c r="F63" s="164">
        <f t="shared" si="3"/>
        <v>-535235</v>
      </c>
      <c r="G63" s="166">
        <f t="shared" si="10"/>
        <v>-537380</v>
      </c>
      <c r="H63" s="299">
        <f t="shared" si="4"/>
        <v>-0.49270000000000003</v>
      </c>
      <c r="I63" s="299">
        <f t="shared" si="5"/>
        <v>2.9999999999999997E-4</v>
      </c>
    </row>
    <row r="64" spans="1:9">
      <c r="A64" s="162">
        <v>1100000</v>
      </c>
      <c r="B64" s="163">
        <f t="shared" si="9"/>
        <v>-0.55000000000000004</v>
      </c>
      <c r="C64" s="147">
        <f t="shared" si="2"/>
        <v>-542530</v>
      </c>
      <c r="D64" s="164">
        <f t="shared" si="8"/>
        <v>-542880</v>
      </c>
      <c r="E64" s="165">
        <f t="shared" si="7"/>
        <v>350</v>
      </c>
      <c r="F64" s="164">
        <f t="shared" si="3"/>
        <v>-540235</v>
      </c>
      <c r="G64" s="166">
        <f t="shared" si="10"/>
        <v>-542880</v>
      </c>
      <c r="H64" s="299">
        <f t="shared" si="4"/>
        <v>-0.49320000000000003</v>
      </c>
      <c r="I64" s="299">
        <f t="shared" si="5"/>
        <v>2.9999999999999997E-4</v>
      </c>
    </row>
    <row r="65" spans="1:9">
      <c r="A65" s="162">
        <v>1150000</v>
      </c>
      <c r="B65" s="163">
        <f t="shared" si="9"/>
        <v>-0.55000000000000004</v>
      </c>
      <c r="C65" s="147">
        <f t="shared" si="2"/>
        <v>-570030</v>
      </c>
      <c r="D65" s="164">
        <f t="shared" si="8"/>
        <v>-570380</v>
      </c>
      <c r="E65" s="165">
        <f t="shared" si="7"/>
        <v>350</v>
      </c>
      <c r="F65" s="164">
        <f t="shared" si="3"/>
        <v>-565235</v>
      </c>
      <c r="G65" s="166">
        <f t="shared" si="10"/>
        <v>-570380</v>
      </c>
      <c r="H65" s="299">
        <f t="shared" si="4"/>
        <v>-0.49569999999999997</v>
      </c>
      <c r="I65" s="299">
        <f t="shared" si="5"/>
        <v>2.9999999999999997E-4</v>
      </c>
    </row>
    <row r="66" spans="1:9">
      <c r="A66" s="162">
        <v>1200000</v>
      </c>
      <c r="B66" s="163">
        <f t="shared" si="9"/>
        <v>-0.55000000000000004</v>
      </c>
      <c r="C66" s="147">
        <f t="shared" si="2"/>
        <v>-597530</v>
      </c>
      <c r="D66" s="164">
        <f t="shared" si="8"/>
        <v>-597880</v>
      </c>
      <c r="E66" s="165">
        <f t="shared" si="7"/>
        <v>350</v>
      </c>
      <c r="F66" s="164">
        <f t="shared" si="3"/>
        <v>-590235</v>
      </c>
      <c r="G66" s="166">
        <f t="shared" si="10"/>
        <v>-597880</v>
      </c>
      <c r="H66" s="299">
        <f t="shared" si="4"/>
        <v>-0.49790000000000001</v>
      </c>
      <c r="I66" s="299">
        <f t="shared" si="5"/>
        <v>2.9999999999999997E-4</v>
      </c>
    </row>
    <row r="67" spans="1:9">
      <c r="A67" s="162">
        <v>1300000</v>
      </c>
      <c r="B67" s="163">
        <f t="shared" si="9"/>
        <v>-0.55000000000000004</v>
      </c>
      <c r="C67" s="147">
        <f t="shared" si="2"/>
        <v>-652530</v>
      </c>
      <c r="D67" s="164">
        <f t="shared" si="8"/>
        <v>-652880</v>
      </c>
      <c r="E67" s="165">
        <f t="shared" si="7"/>
        <v>350</v>
      </c>
      <c r="F67" s="164">
        <f t="shared" si="3"/>
        <v>-640235</v>
      </c>
      <c r="G67" s="166">
        <f t="shared" si="10"/>
        <v>-652880</v>
      </c>
      <c r="H67" s="299">
        <f t="shared" si="4"/>
        <v>-0.50190000000000001</v>
      </c>
      <c r="I67" s="299">
        <f t="shared" si="5"/>
        <v>2.9999999999999997E-4</v>
      </c>
    </row>
    <row r="68" spans="1:9">
      <c r="A68" s="162">
        <v>1400000</v>
      </c>
      <c r="B68" s="163">
        <f t="shared" si="9"/>
        <v>-0.55000000000000004</v>
      </c>
      <c r="C68" s="147">
        <f t="shared" si="2"/>
        <v>-707530</v>
      </c>
      <c r="D68" s="164">
        <f t="shared" si="8"/>
        <v>-707880</v>
      </c>
      <c r="E68" s="165">
        <f t="shared" si="7"/>
        <v>350</v>
      </c>
      <c r="F68" s="164">
        <f t="shared" si="3"/>
        <v>-690235</v>
      </c>
      <c r="G68" s="166">
        <f t="shared" si="10"/>
        <v>-707880</v>
      </c>
      <c r="H68" s="299">
        <f t="shared" si="4"/>
        <v>-0.50539999999999996</v>
      </c>
      <c r="I68" s="299">
        <f t="shared" si="5"/>
        <v>2.9999999999999997E-4</v>
      </c>
    </row>
    <row r="69" spans="1:9">
      <c r="A69" s="162">
        <v>1500000</v>
      </c>
      <c r="B69" s="163">
        <f t="shared" si="9"/>
        <v>-0.55000000000000004</v>
      </c>
      <c r="C69" s="147">
        <f t="shared" si="2"/>
        <v>-762530</v>
      </c>
      <c r="D69" s="164">
        <f t="shared" si="8"/>
        <v>-762880</v>
      </c>
      <c r="E69" s="165">
        <f t="shared" si="7"/>
        <v>350</v>
      </c>
      <c r="F69" s="164">
        <f t="shared" si="3"/>
        <v>-740235</v>
      </c>
      <c r="G69" s="166">
        <f t="shared" si="10"/>
        <v>-762880</v>
      </c>
      <c r="H69" s="299">
        <f t="shared" si="4"/>
        <v>-0.50839999999999996</v>
      </c>
      <c r="I69" s="299">
        <f t="shared" si="5"/>
        <v>2.0000000000000001E-4</v>
      </c>
    </row>
    <row r="70" spans="1:9">
      <c r="A70" s="162">
        <v>1600000</v>
      </c>
      <c r="B70" s="163">
        <f t="shared" si="9"/>
        <v>-0.55000000000000004</v>
      </c>
      <c r="C70" s="147">
        <f t="shared" si="2"/>
        <v>-817530</v>
      </c>
      <c r="D70" s="164">
        <f t="shared" si="8"/>
        <v>-817880</v>
      </c>
      <c r="E70" s="165">
        <f t="shared" si="7"/>
        <v>350</v>
      </c>
      <c r="F70" s="164">
        <f t="shared" si="3"/>
        <v>-790235</v>
      </c>
      <c r="G70" s="166">
        <f t="shared" si="10"/>
        <v>-817880</v>
      </c>
      <c r="H70" s="299">
        <f t="shared" si="4"/>
        <v>-0.51100000000000001</v>
      </c>
      <c r="I70" s="299">
        <f t="shared" si="5"/>
        <v>2.0000000000000001E-4</v>
      </c>
    </row>
    <row r="71" spans="1:9">
      <c r="A71" s="162">
        <v>1700000</v>
      </c>
      <c r="B71" s="163">
        <f t="shared" si="9"/>
        <v>-0.55000000000000004</v>
      </c>
      <c r="C71" s="147">
        <f t="shared" si="2"/>
        <v>-872530</v>
      </c>
      <c r="D71" s="164">
        <f t="shared" si="8"/>
        <v>-872880</v>
      </c>
      <c r="E71" s="165">
        <f t="shared" si="7"/>
        <v>350</v>
      </c>
      <c r="F71" s="164">
        <f t="shared" si="3"/>
        <v>-840235</v>
      </c>
      <c r="G71" s="166">
        <f t="shared" si="10"/>
        <v>-872880</v>
      </c>
      <c r="H71" s="299">
        <f t="shared" si="4"/>
        <v>-0.51329999999999998</v>
      </c>
      <c r="I71" s="299">
        <f t="shared" si="5"/>
        <v>2.0000000000000001E-4</v>
      </c>
    </row>
    <row r="72" spans="1:9">
      <c r="A72" s="162">
        <v>1800000</v>
      </c>
      <c r="B72" s="163">
        <f t="shared" si="9"/>
        <v>-0.55000000000000004</v>
      </c>
      <c r="C72" s="147">
        <f t="shared" si="2"/>
        <v>-927530</v>
      </c>
      <c r="D72" s="164">
        <f t="shared" si="8"/>
        <v>-927880</v>
      </c>
      <c r="E72" s="165">
        <f t="shared" si="7"/>
        <v>350</v>
      </c>
      <c r="F72" s="164">
        <f t="shared" si="3"/>
        <v>-890235</v>
      </c>
      <c r="G72" s="166">
        <f t="shared" si="10"/>
        <v>-927880</v>
      </c>
      <c r="H72" s="299">
        <f t="shared" si="4"/>
        <v>-0.51529999999999998</v>
      </c>
      <c r="I72" s="299">
        <f t="shared" si="5"/>
        <v>2.0000000000000001E-4</v>
      </c>
    </row>
    <row r="73" spans="1:9">
      <c r="A73" s="162">
        <v>1900000</v>
      </c>
      <c r="B73" s="163">
        <f t="shared" si="9"/>
        <v>-0.55000000000000004</v>
      </c>
      <c r="C73" s="147">
        <f t="shared" si="2"/>
        <v>-982530</v>
      </c>
      <c r="D73" s="164">
        <f t="shared" si="8"/>
        <v>-982880</v>
      </c>
      <c r="E73" s="165">
        <f t="shared" si="7"/>
        <v>350</v>
      </c>
      <c r="F73" s="164">
        <f t="shared" si="3"/>
        <v>-940235</v>
      </c>
      <c r="G73" s="166">
        <f t="shared" si="10"/>
        <v>-982880</v>
      </c>
      <c r="H73" s="299">
        <f t="shared" si="4"/>
        <v>-0.5171</v>
      </c>
      <c r="I73" s="299">
        <f t="shared" si="5"/>
        <v>2.0000000000000001E-4</v>
      </c>
    </row>
    <row r="74" spans="1:9">
      <c r="A74" s="162">
        <v>2000000</v>
      </c>
      <c r="B74" s="163">
        <f t="shared" si="9"/>
        <v>-0.55000000000000004</v>
      </c>
      <c r="C74" s="147">
        <f t="shared" si="2"/>
        <v>-1037530</v>
      </c>
      <c r="D74" s="164">
        <f t="shared" si="8"/>
        <v>-1037880</v>
      </c>
      <c r="E74" s="165">
        <f t="shared" si="7"/>
        <v>350</v>
      </c>
      <c r="F74" s="164">
        <f t="shared" si="3"/>
        <v>-990235</v>
      </c>
      <c r="G74" s="166">
        <f t="shared" si="10"/>
        <v>-1037880</v>
      </c>
      <c r="H74" s="299">
        <f t="shared" si="4"/>
        <v>-0.51880000000000004</v>
      </c>
      <c r="I74" s="299">
        <f t="shared" si="5"/>
        <v>2.0000000000000001E-4</v>
      </c>
    </row>
  </sheetData>
  <sheetProtection password="C83F" sheet="1" objects="1" scenarios="1"/>
  <mergeCells count="1">
    <mergeCell ref="A1:E1"/>
  </mergeCells>
  <conditionalFormatting sqref="H2">
    <cfRule type="expression" dxfId="165" priority="2" stopIfTrue="1">
      <formula>AND(#REF!&gt;2)</formula>
    </cfRule>
  </conditionalFormatting>
  <conditionalFormatting sqref="I13:I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H1" r:id="rId1"/>
  </hyperlinks>
  <printOptions horizontalCentered="1" gridLines="1"/>
  <pageMargins left="0.35433070866141736" right="0.19685039370078741" top="0.54" bottom="0.55000000000000004" header="0.27" footer="0.26"/>
  <pageSetup paperSize="9" scale="90" orientation="portrait" r:id="rId2"/>
  <headerFooter alignWithMargins="0">
    <oddHeader>&amp;L&amp;8&amp;F&amp;C&amp;8&amp;A&amp;R&amp;8&amp;D</oddHeader>
    <oddFooter>&amp;L&amp;8copyright © www.rvo.at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0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184" customWidth="1"/>
    <col min="2" max="2" width="12.88671875" style="186" customWidth="1"/>
    <col min="3" max="3" width="14" style="178" customWidth="1"/>
    <col min="4" max="4" width="10.109375" style="290" customWidth="1"/>
    <col min="5" max="5" width="12.6640625" style="178" customWidth="1"/>
    <col min="6" max="16384" width="11.44140625" style="178"/>
  </cols>
  <sheetData>
    <row r="1" spans="1:8" ht="15" customHeight="1">
      <c r="A1" s="325" t="s">
        <v>44</v>
      </c>
      <c r="B1" s="325"/>
      <c r="C1" s="325"/>
      <c r="D1" s="325"/>
      <c r="E1" s="325" t="s">
        <v>40</v>
      </c>
      <c r="F1" s="325"/>
    </row>
    <row r="2" spans="1:8">
      <c r="A2" s="179" t="s">
        <v>29</v>
      </c>
      <c r="B2" s="180" t="s">
        <v>0</v>
      </c>
      <c r="C2" s="181" t="s">
        <v>1</v>
      </c>
      <c r="D2" s="182" t="s">
        <v>4</v>
      </c>
      <c r="E2" s="183" t="s">
        <v>2</v>
      </c>
      <c r="F2" s="183"/>
    </row>
    <row r="3" spans="1:8" outlineLevel="1">
      <c r="A3" s="184" t="s">
        <v>31</v>
      </c>
      <c r="B3" s="185">
        <v>3000</v>
      </c>
      <c r="C3" s="186">
        <f t="shared" ref="C3:C10" si="0">ROUND(B3*12,2)</f>
        <v>36000</v>
      </c>
      <c r="D3" s="187">
        <f t="shared" ref="D3:D10" si="1">IF(ISBLANK(B3),"",(ROUND(C3/C$11,3)))</f>
        <v>1</v>
      </c>
      <c r="E3" s="188" t="s">
        <v>86</v>
      </c>
      <c r="F3" s="188"/>
    </row>
    <row r="4" spans="1:8" outlineLevel="1">
      <c r="A4" s="184" t="s">
        <v>30</v>
      </c>
      <c r="B4" s="185"/>
      <c r="C4" s="186">
        <f t="shared" si="0"/>
        <v>0</v>
      </c>
      <c r="D4" s="187" t="str">
        <f t="shared" si="1"/>
        <v/>
      </c>
      <c r="E4" s="188"/>
      <c r="F4" s="188"/>
      <c r="H4" s="189"/>
    </row>
    <row r="5" spans="1:8" outlineLevel="1">
      <c r="A5" s="184" t="s">
        <v>32</v>
      </c>
      <c r="B5" s="185"/>
      <c r="C5" s="186">
        <f t="shared" si="0"/>
        <v>0</v>
      </c>
      <c r="D5" s="187" t="str">
        <f t="shared" si="1"/>
        <v/>
      </c>
      <c r="E5" s="188"/>
      <c r="F5" s="188"/>
    </row>
    <row r="6" spans="1:8" outlineLevel="1">
      <c r="A6" s="184" t="s">
        <v>33</v>
      </c>
      <c r="B6" s="185"/>
      <c r="C6" s="186">
        <f t="shared" si="0"/>
        <v>0</v>
      </c>
      <c r="D6" s="187" t="str">
        <f t="shared" si="1"/>
        <v/>
      </c>
      <c r="E6" s="188"/>
      <c r="F6" s="188"/>
    </row>
    <row r="7" spans="1:8" outlineLevel="1">
      <c r="A7" s="184" t="s">
        <v>34</v>
      </c>
      <c r="B7" s="185"/>
      <c r="C7" s="186">
        <f t="shared" si="0"/>
        <v>0</v>
      </c>
      <c r="D7" s="187" t="str">
        <f t="shared" si="1"/>
        <v/>
      </c>
      <c r="E7" s="188"/>
      <c r="F7" s="188"/>
    </row>
    <row r="8" spans="1:8" outlineLevel="1">
      <c r="A8" s="184" t="s">
        <v>35</v>
      </c>
      <c r="B8" s="185"/>
      <c r="C8" s="186">
        <f t="shared" si="0"/>
        <v>0</v>
      </c>
      <c r="D8" s="187" t="str">
        <f t="shared" si="1"/>
        <v/>
      </c>
      <c r="E8" s="188"/>
      <c r="F8" s="188"/>
    </row>
    <row r="9" spans="1:8" outlineLevel="1">
      <c r="A9" s="184" t="s">
        <v>36</v>
      </c>
      <c r="B9" s="185"/>
      <c r="C9" s="186">
        <f t="shared" si="0"/>
        <v>0</v>
      </c>
      <c r="D9" s="187" t="str">
        <f t="shared" si="1"/>
        <v/>
      </c>
      <c r="E9" s="188"/>
      <c r="F9" s="188"/>
    </row>
    <row r="10" spans="1:8" outlineLevel="1">
      <c r="A10" s="184" t="s">
        <v>37</v>
      </c>
      <c r="B10" s="185"/>
      <c r="C10" s="186">
        <f t="shared" si="0"/>
        <v>0</v>
      </c>
      <c r="D10" s="187" t="str">
        <f t="shared" si="1"/>
        <v/>
      </c>
      <c r="E10" s="188"/>
      <c r="F10" s="188"/>
    </row>
    <row r="11" spans="1:8" ht="12" thickBot="1">
      <c r="A11" s="190" t="s">
        <v>38</v>
      </c>
      <c r="B11" s="191">
        <f>ROUND(SUM(B3:B10),2)</f>
        <v>3000</v>
      </c>
      <c r="C11" s="191">
        <f>ROUND(SUM(C3:C10),2)</f>
        <v>36000</v>
      </c>
      <c r="D11" s="192">
        <v>1</v>
      </c>
      <c r="E11" s="193"/>
      <c r="F11" s="193"/>
    </row>
    <row r="12" spans="1:8" ht="14.4" customHeight="1" thickTop="1">
      <c r="A12" s="194"/>
      <c r="B12" s="195"/>
      <c r="C12" s="196"/>
      <c r="D12" s="197"/>
      <c r="F12" s="196"/>
    </row>
    <row r="13" spans="1:8">
      <c r="A13" s="179" t="s">
        <v>22</v>
      </c>
      <c r="B13" s="180" t="s">
        <v>0</v>
      </c>
      <c r="C13" s="181" t="s">
        <v>1</v>
      </c>
      <c r="D13" s="182" t="s">
        <v>4</v>
      </c>
      <c r="E13" s="183" t="s">
        <v>2</v>
      </c>
      <c r="F13" s="183"/>
    </row>
    <row r="14" spans="1:8">
      <c r="A14" s="198" t="s">
        <v>24</v>
      </c>
      <c r="B14" s="199"/>
      <c r="C14" s="200">
        <f t="shared" ref="C14:C33" si="2">ROUND(B14*12,2)</f>
        <v>0</v>
      </c>
      <c r="D14" s="187" t="str">
        <f t="shared" ref="D14:D33" si="3">IF(ISBLANK(B14),"",(ROUND(C14/C$11,3)))</f>
        <v/>
      </c>
      <c r="E14" s="188"/>
      <c r="F14" s="201"/>
    </row>
    <row r="15" spans="1:8">
      <c r="A15" s="202" t="s">
        <v>23</v>
      </c>
      <c r="B15" s="199"/>
      <c r="C15" s="200">
        <f t="shared" si="2"/>
        <v>0</v>
      </c>
      <c r="D15" s="187" t="str">
        <f t="shared" si="3"/>
        <v/>
      </c>
      <c r="E15" s="188"/>
      <c r="F15" s="201"/>
    </row>
    <row r="16" spans="1:8">
      <c r="A16" s="202" t="s">
        <v>10</v>
      </c>
      <c r="B16" s="199"/>
      <c r="C16" s="200">
        <f t="shared" si="2"/>
        <v>0</v>
      </c>
      <c r="D16" s="187" t="str">
        <f t="shared" si="3"/>
        <v/>
      </c>
      <c r="E16" s="188"/>
      <c r="F16" s="201"/>
    </row>
    <row r="17" spans="1:7">
      <c r="A17" s="198" t="s">
        <v>11</v>
      </c>
      <c r="B17" s="199"/>
      <c r="C17" s="200">
        <f t="shared" si="2"/>
        <v>0</v>
      </c>
      <c r="D17" s="187" t="str">
        <f t="shared" si="3"/>
        <v/>
      </c>
      <c r="E17" s="188"/>
      <c r="F17" s="201"/>
      <c r="G17" s="178" t="s">
        <v>57</v>
      </c>
    </row>
    <row r="18" spans="1:7">
      <c r="A18" s="198" t="s">
        <v>12</v>
      </c>
      <c r="B18" s="199"/>
      <c r="C18" s="200">
        <f t="shared" si="2"/>
        <v>0</v>
      </c>
      <c r="D18" s="187" t="str">
        <f t="shared" si="3"/>
        <v/>
      </c>
      <c r="E18" s="188"/>
      <c r="F18" s="201"/>
    </row>
    <row r="19" spans="1:7">
      <c r="A19" s="198" t="s">
        <v>13</v>
      </c>
      <c r="B19" s="199"/>
      <c r="C19" s="200">
        <f t="shared" si="2"/>
        <v>0</v>
      </c>
      <c r="D19" s="187" t="str">
        <f t="shared" si="3"/>
        <v/>
      </c>
      <c r="E19" s="188"/>
      <c r="F19" s="201"/>
    </row>
    <row r="20" spans="1:7">
      <c r="A20" s="198" t="s">
        <v>28</v>
      </c>
      <c r="B20" s="199"/>
      <c r="C20" s="200">
        <f t="shared" si="2"/>
        <v>0</v>
      </c>
      <c r="D20" s="187" t="str">
        <f t="shared" si="3"/>
        <v/>
      </c>
      <c r="E20" s="188"/>
      <c r="F20" s="201"/>
    </row>
    <row r="21" spans="1:7">
      <c r="A21" s="198" t="s">
        <v>14</v>
      </c>
      <c r="B21" s="199"/>
      <c r="C21" s="200">
        <f t="shared" si="2"/>
        <v>0</v>
      </c>
      <c r="D21" s="187" t="str">
        <f t="shared" si="3"/>
        <v/>
      </c>
      <c r="E21" s="188"/>
      <c r="F21" s="201"/>
    </row>
    <row r="22" spans="1:7">
      <c r="A22" s="198" t="s">
        <v>26</v>
      </c>
      <c r="B22" s="199"/>
      <c r="C22" s="200">
        <f t="shared" si="2"/>
        <v>0</v>
      </c>
      <c r="D22" s="187" t="str">
        <f t="shared" si="3"/>
        <v/>
      </c>
      <c r="E22" s="188"/>
      <c r="F22" s="201"/>
    </row>
    <row r="23" spans="1:7">
      <c r="A23" s="198" t="s">
        <v>27</v>
      </c>
      <c r="B23" s="199"/>
      <c r="C23" s="200">
        <f t="shared" si="2"/>
        <v>0</v>
      </c>
      <c r="D23" s="187" t="str">
        <f t="shared" si="3"/>
        <v/>
      </c>
      <c r="E23" s="188"/>
      <c r="F23" s="201"/>
    </row>
    <row r="24" spans="1:7">
      <c r="A24" s="198" t="s">
        <v>25</v>
      </c>
      <c r="B24" s="199"/>
      <c r="C24" s="200">
        <f t="shared" si="2"/>
        <v>0</v>
      </c>
      <c r="D24" s="187" t="str">
        <f t="shared" si="3"/>
        <v/>
      </c>
      <c r="E24" s="188"/>
      <c r="F24" s="201"/>
      <c r="G24" s="178" t="s">
        <v>57</v>
      </c>
    </row>
    <row r="25" spans="1:7">
      <c r="A25" s="198" t="s">
        <v>15</v>
      </c>
      <c r="B25" s="199"/>
      <c r="C25" s="200">
        <f t="shared" si="2"/>
        <v>0</v>
      </c>
      <c r="D25" s="187" t="str">
        <f t="shared" si="3"/>
        <v/>
      </c>
      <c r="E25" s="188"/>
      <c r="F25" s="201"/>
    </row>
    <row r="26" spans="1:7">
      <c r="A26" s="198" t="s">
        <v>16</v>
      </c>
      <c r="B26" s="199"/>
      <c r="C26" s="200">
        <f t="shared" si="2"/>
        <v>0</v>
      </c>
      <c r="D26" s="187" t="str">
        <f t="shared" si="3"/>
        <v/>
      </c>
      <c r="E26" s="188"/>
      <c r="F26" s="201"/>
    </row>
    <row r="27" spans="1:7">
      <c r="A27" s="198" t="s">
        <v>17</v>
      </c>
      <c r="B27" s="199"/>
      <c r="C27" s="200">
        <f t="shared" si="2"/>
        <v>0</v>
      </c>
      <c r="D27" s="187" t="str">
        <f t="shared" si="3"/>
        <v/>
      </c>
      <c r="E27" s="188"/>
      <c r="F27" s="201"/>
    </row>
    <row r="28" spans="1:7">
      <c r="A28" s="198" t="s">
        <v>18</v>
      </c>
      <c r="B28" s="199"/>
      <c r="C28" s="200">
        <f t="shared" si="2"/>
        <v>0</v>
      </c>
      <c r="D28" s="187" t="str">
        <f t="shared" si="3"/>
        <v/>
      </c>
      <c r="E28" s="188"/>
      <c r="F28" s="201"/>
    </row>
    <row r="29" spans="1:7">
      <c r="A29" s="198" t="s">
        <v>19</v>
      </c>
      <c r="B29" s="199"/>
      <c r="C29" s="200">
        <f t="shared" si="2"/>
        <v>0</v>
      </c>
      <c r="D29" s="187" t="str">
        <f t="shared" si="3"/>
        <v/>
      </c>
      <c r="E29" s="188"/>
      <c r="F29" s="201"/>
    </row>
    <row r="30" spans="1:7">
      <c r="A30" s="198" t="s">
        <v>41</v>
      </c>
      <c r="B30" s="199"/>
      <c r="C30" s="200">
        <f t="shared" si="2"/>
        <v>0</v>
      </c>
      <c r="D30" s="187" t="str">
        <f t="shared" si="3"/>
        <v/>
      </c>
      <c r="E30" s="188"/>
      <c r="F30" s="201"/>
    </row>
    <row r="31" spans="1:7">
      <c r="A31" s="198" t="s">
        <v>88</v>
      </c>
      <c r="B31" s="199">
        <v>-680</v>
      </c>
      <c r="C31" s="200">
        <f t="shared" si="2"/>
        <v>-8160</v>
      </c>
      <c r="D31" s="187">
        <f t="shared" si="3"/>
        <v>-0.22700000000000001</v>
      </c>
      <c r="E31" s="188" t="s">
        <v>86</v>
      </c>
      <c r="F31" s="201"/>
    </row>
    <row r="32" spans="1:7">
      <c r="A32" s="198" t="s">
        <v>20</v>
      </c>
      <c r="B32" s="199"/>
      <c r="C32" s="200">
        <f t="shared" si="2"/>
        <v>0</v>
      </c>
      <c r="D32" s="187" t="str">
        <f t="shared" si="3"/>
        <v/>
      </c>
      <c r="E32" s="188"/>
      <c r="F32" s="201"/>
    </row>
    <row r="33" spans="1:9">
      <c r="A33" s="198" t="s">
        <v>21</v>
      </c>
      <c r="B33" s="199"/>
      <c r="C33" s="200">
        <f t="shared" si="2"/>
        <v>0</v>
      </c>
      <c r="D33" s="187" t="str">
        <f t="shared" si="3"/>
        <v/>
      </c>
      <c r="E33" s="188"/>
      <c r="F33" s="201"/>
    </row>
    <row r="34" spans="1:9" ht="12" thickBot="1">
      <c r="A34" s="203" t="s">
        <v>39</v>
      </c>
      <c r="B34" s="204">
        <f>ROUND(SUM(B14:B33),2)</f>
        <v>-680</v>
      </c>
      <c r="C34" s="204">
        <f>ROUND(SUM(C14:C33),2)</f>
        <v>-8160</v>
      </c>
      <c r="D34" s="192">
        <f>ROUND(SUM(D14:D33),3)</f>
        <v>-0.22700000000000001</v>
      </c>
      <c r="E34" s="193"/>
      <c r="F34" s="205"/>
    </row>
    <row r="35" spans="1:9" ht="14.4" customHeight="1" thickTop="1">
      <c r="A35" s="194"/>
      <c r="B35" s="195"/>
      <c r="C35" s="196"/>
      <c r="D35" s="197"/>
      <c r="F35" s="196"/>
    </row>
    <row r="36" spans="1:9">
      <c r="A36" s="179" t="s">
        <v>3</v>
      </c>
      <c r="B36" s="181" t="s">
        <v>0</v>
      </c>
      <c r="C36" s="181" t="s">
        <v>1</v>
      </c>
      <c r="D36" s="206" t="s">
        <v>4</v>
      </c>
      <c r="E36" s="207"/>
      <c r="F36" s="104" t="s">
        <v>58</v>
      </c>
    </row>
    <row r="37" spans="1:9" ht="12.75" customHeight="1">
      <c r="A37" s="178" t="str">
        <f>IF(B37&lt;0,"Verlust","Gewinn (Überschuss)")</f>
        <v>Gewinn (Überschuss)</v>
      </c>
      <c r="B37" s="208">
        <f>ROUND(SUM(B11,B34),2)</f>
        <v>2320</v>
      </c>
      <c r="C37" s="209">
        <f>ROUND(B37*12,2)</f>
        <v>27840</v>
      </c>
      <c r="D37" s="210">
        <v>1</v>
      </c>
      <c r="E37" s="211" t="str">
        <f>CONCATENATE(" .. (",ROUND(C37/C11*100,1),"% v. Umsatz)")</f>
        <v xml:space="preserve"> .. (77,3% v. Umsatz)</v>
      </c>
      <c r="F37" s="212"/>
    </row>
    <row r="38" spans="1:9">
      <c r="A38" s="213" t="s">
        <v>95</v>
      </c>
      <c r="B38" s="208">
        <f>ROUND(C38/12,2)</f>
        <v>-301.60000000000002</v>
      </c>
      <c r="C38" s="214">
        <f>ROUNDDOWN((MIN(MAX(-3900,C37*-0.13),0)),2)</f>
        <v>-3619.2</v>
      </c>
      <c r="D38" s="210">
        <f>ROUND(C38/C37,3)</f>
        <v>-0.13</v>
      </c>
      <c r="E38" s="212"/>
      <c r="F38" s="212"/>
    </row>
    <row r="39" spans="1:9">
      <c r="A39" s="213" t="s">
        <v>96</v>
      </c>
      <c r="B39" s="208">
        <f>ROUND(C39/12,2)</f>
        <v>0</v>
      </c>
      <c r="C39" s="215"/>
      <c r="D39" s="210">
        <f>ROUND(C39/C37,3)</f>
        <v>0</v>
      </c>
      <c r="E39" s="216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217"/>
    </row>
    <row r="40" spans="1:9">
      <c r="A40" s="213" t="s">
        <v>89</v>
      </c>
      <c r="B40" s="208">
        <f>B31*-1</f>
        <v>680</v>
      </c>
      <c r="C40" s="209">
        <f>ROUND(B40*12,2)</f>
        <v>8160</v>
      </c>
      <c r="D40" s="210">
        <f>ROUND(C40/C37,3)</f>
        <v>0.29299999999999998</v>
      </c>
      <c r="E40" s="212"/>
      <c r="F40" s="212"/>
    </row>
    <row r="41" spans="1:9" outlineLevel="1">
      <c r="A41" s="218" t="s">
        <v>42</v>
      </c>
      <c r="B41" s="219">
        <f>SUM(B37:B40)</f>
        <v>2698.4</v>
      </c>
      <c r="C41" s="219">
        <f>SUM(C37:C40)</f>
        <v>32380.799999999999</v>
      </c>
      <c r="D41" s="220">
        <f>ROUND(C41/C37,3)</f>
        <v>1.163</v>
      </c>
      <c r="E41" s="221"/>
      <c r="F41" s="222"/>
    </row>
    <row r="42" spans="1:9" outlineLevel="1">
      <c r="A42" s="223" t="s">
        <v>77</v>
      </c>
      <c r="B42" s="224">
        <v>-9.7899999999999991</v>
      </c>
      <c r="C42" s="225">
        <f>ROUND(B42*12,2)</f>
        <v>-117.48</v>
      </c>
      <c r="D42" s="326" t="s">
        <v>43</v>
      </c>
      <c r="E42" s="326"/>
      <c r="F42" s="326"/>
      <c r="G42" s="226" t="s">
        <v>74</v>
      </c>
    </row>
    <row r="43" spans="1:9" ht="13.2" outlineLevel="1">
      <c r="A43" s="227" t="s">
        <v>78</v>
      </c>
      <c r="B43" s="225">
        <f>IF(B$41&lt;E43,E43*D43,IF(B$41&gt;F43,F43*D43,B$41*D43))</f>
        <v>-499.20400000000001</v>
      </c>
      <c r="C43" s="225">
        <f>B43*12</f>
        <v>-5990.4480000000003</v>
      </c>
      <c r="D43" s="228">
        <v>-0.185</v>
      </c>
      <c r="E43" s="229">
        <v>654.25</v>
      </c>
      <c r="F43" s="230">
        <v>6090</v>
      </c>
      <c r="G43" s="127" t="s">
        <v>73</v>
      </c>
    </row>
    <row r="44" spans="1:9" ht="13.2" outlineLevel="1">
      <c r="A44" s="223" t="s">
        <v>79</v>
      </c>
      <c r="B44" s="225">
        <f>IF(B$41&lt;E44,E44*D44,IF(B$41&gt;F44,F44*D44,B$41*D44))</f>
        <v>-206.42760000000001</v>
      </c>
      <c r="C44" s="225">
        <f>B44*12</f>
        <v>-2477.1312000000003</v>
      </c>
      <c r="D44" s="228">
        <v>-7.6499999999999999E-2</v>
      </c>
      <c r="E44" s="229">
        <v>446.81</v>
      </c>
      <c r="F44" s="230">
        <v>6090</v>
      </c>
      <c r="G44" s="115"/>
    </row>
    <row r="45" spans="1:9" ht="13.2" outlineLevel="1">
      <c r="A45" s="223" t="s">
        <v>97</v>
      </c>
      <c r="B45" s="225">
        <f>IF(B$41&lt;E45,E45*D45,IF(B$41&gt;F45,F45*D45,B$41*D45))</f>
        <v>-46.588499999999996</v>
      </c>
      <c r="C45" s="225">
        <f>B45*12</f>
        <v>-559.0619999999999</v>
      </c>
      <c r="D45" s="228">
        <v>-1.5299999999999999E-2</v>
      </c>
      <c r="E45" s="229">
        <v>3045</v>
      </c>
      <c r="F45" s="230">
        <v>3045</v>
      </c>
      <c r="G45" s="115"/>
    </row>
    <row r="46" spans="1:9" outlineLevel="1">
      <c r="A46" s="227" t="s">
        <v>98</v>
      </c>
      <c r="B46" s="225">
        <f>IF(B$41&lt;E46,E46*D46,IF(B$41&gt;F46,F46*D46,B$41*D46))</f>
        <v>-182.7</v>
      </c>
      <c r="C46" s="225">
        <f>B46*12</f>
        <v>-2192.3999999999996</v>
      </c>
      <c r="D46" s="228">
        <v>-0.06</v>
      </c>
      <c r="E46" s="229">
        <v>3045</v>
      </c>
      <c r="F46" s="230">
        <v>3045</v>
      </c>
    </row>
    <row r="47" spans="1:9">
      <c r="A47" s="218" t="s">
        <v>7</v>
      </c>
      <c r="B47" s="219">
        <f>ROUND(SUM(B42:B46),2)</f>
        <v>-944.71</v>
      </c>
      <c r="C47" s="219">
        <f>ROUND(SUM(C42:C46),2)</f>
        <v>-11336.52</v>
      </c>
      <c r="D47" s="220">
        <f>ROUND(C47/C37,3)</f>
        <v>-0.40699999999999997</v>
      </c>
      <c r="E47" s="222"/>
      <c r="F47" s="222"/>
    </row>
    <row r="48" spans="1:9" ht="13.5" customHeight="1">
      <c r="A48" s="231" t="s">
        <v>45</v>
      </c>
      <c r="B48" s="232">
        <f>SUM(B41,B47)</f>
        <v>1753.69</v>
      </c>
      <c r="C48" s="232">
        <f>SUM(C37:C40,C47)</f>
        <v>21044.28</v>
      </c>
      <c r="D48" s="233">
        <f>ROUND(C48/C37,3)</f>
        <v>0.75600000000000001</v>
      </c>
      <c r="E48" s="234" t="s">
        <v>46</v>
      </c>
      <c r="F48" s="234" t="s">
        <v>47</v>
      </c>
      <c r="G48" s="235" t="str">
        <f>IF(B69&gt;2,"MKZ","")</f>
        <v/>
      </c>
      <c r="H48" s="176" t="str">
        <f>IF(G48="MKZ","Info zum Mehrkindzuschlag (MKZ) seit 2011","")</f>
        <v/>
      </c>
      <c r="I48" s="200"/>
    </row>
    <row r="49" spans="1:9" ht="13.5" customHeight="1">
      <c r="A49" s="236" t="s">
        <v>48</v>
      </c>
      <c r="B49" s="236"/>
      <c r="C49" s="237">
        <f>IF(ISBLANK(E49),-60,ROUND(MIN(-60,IF(C48&lt;36400,MIN(E49,F49)/-4,((60000-C48)*(MIN(E49,F49)/4-60)/23600+60)*-1)),2))</f>
        <v>-60</v>
      </c>
      <c r="D49" s="178"/>
      <c r="E49" s="238"/>
      <c r="F49" s="239">
        <f>IF(B68=0,2920,IF(B69&lt;3,5840,IF(G49="ohne MKZ",5840,5840)))</f>
        <v>2920</v>
      </c>
      <c r="G49" s="240"/>
      <c r="H49" s="200"/>
      <c r="I49" s="200"/>
    </row>
    <row r="50" spans="1:9">
      <c r="A50" s="241" t="s">
        <v>49</v>
      </c>
      <c r="B50" s="241"/>
      <c r="C50" s="215"/>
      <c r="D50" s="213"/>
      <c r="E50" s="242"/>
      <c r="F50" s="243"/>
      <c r="G50" s="244" t="str">
        <f>IF(G49="inkl. MKZ für",IF(ISBLANK(G51),ROUND((B69-2)*12,0),""),"")</f>
        <v/>
      </c>
      <c r="H50" s="200"/>
      <c r="I50" s="200"/>
    </row>
    <row r="51" spans="1:9">
      <c r="A51" s="241" t="s">
        <v>124</v>
      </c>
      <c r="B51" s="241"/>
      <c r="C51" s="237"/>
      <c r="D51" s="213"/>
      <c r="E51" s="242"/>
      <c r="F51" s="243"/>
      <c r="G51" s="245"/>
      <c r="H51" s="200"/>
      <c r="I51" s="200"/>
    </row>
    <row r="52" spans="1:9">
      <c r="A52" s="246" t="s">
        <v>50</v>
      </c>
      <c r="B52" s="246"/>
      <c r="C52" s="247">
        <f>ROUND(IF(SUM(C48:C51)&lt;0,0,SUM(C48:C51)),2)</f>
        <v>20984.28</v>
      </c>
      <c r="D52" s="248"/>
      <c r="E52" s="249"/>
      <c r="F52" s="250">
        <f>ROUND(IF(C52&gt;36400,0.12,IF(C52&gt;14600,0.1,IF(C52&gt;7300,0.08,0.06)))-SUM(B68/100,B69/100),3)</f>
        <v>0.1</v>
      </c>
      <c r="G52" s="142"/>
      <c r="H52" s="200"/>
      <c r="I52" s="200"/>
    </row>
    <row r="53" spans="1:9" ht="13.5" customHeight="1">
      <c r="A53" s="251" t="str">
        <f>CONCATENATE("außergew. Belastungen ",F52*-100,"% Selbstbehalt")</f>
        <v>außergew. Belastungen -10% Selbstbehalt</v>
      </c>
      <c r="B53" s="251"/>
      <c r="C53" s="237">
        <f>ROUND(IF(E53&lt;F53,0,(E53-F53)*-1),2)</f>
        <v>0</v>
      </c>
      <c r="D53" s="178"/>
      <c r="E53" s="238"/>
      <c r="F53" s="239">
        <f>ROUND(C52*F52,2)</f>
        <v>2098.4299999999998</v>
      </c>
      <c r="G53" s="142"/>
      <c r="H53" s="200"/>
      <c r="I53" s="200"/>
    </row>
    <row r="54" spans="1:9" ht="13.5" customHeight="1">
      <c r="A54" s="252" t="s">
        <v>51</v>
      </c>
      <c r="B54" s="252"/>
      <c r="C54" s="253"/>
      <c r="D54" s="252"/>
      <c r="E54" s="254"/>
      <c r="F54" s="255"/>
      <c r="G54" s="142"/>
      <c r="H54" s="200"/>
      <c r="I54" s="200"/>
    </row>
    <row r="55" spans="1:9" s="138" customFormat="1" ht="12">
      <c r="A55" s="231" t="s">
        <v>101</v>
      </c>
      <c r="B55" s="145">
        <v>1</v>
      </c>
      <c r="C55" s="247">
        <f>ROUND(IF(SUM(C52:C54)&lt;0,0,SUM(C52:C54)),2)</f>
        <v>20984.28</v>
      </c>
      <c r="E55" s="256">
        <f>F55/C55</f>
        <v>-0.13317111666447456</v>
      </c>
      <c r="F55" s="143">
        <f>ROUND(SUM(D57:D63),2)</f>
        <v>-2794.5</v>
      </c>
      <c r="G55" s="142"/>
      <c r="H55" s="143"/>
    </row>
    <row r="56" spans="1:9" s="138" customFormat="1" ht="3" customHeight="1">
      <c r="A56" s="231"/>
      <c r="B56" s="145"/>
      <c r="C56" s="237"/>
      <c r="E56" s="256"/>
      <c r="F56" s="143"/>
      <c r="G56" s="142"/>
      <c r="H56" s="143"/>
    </row>
    <row r="57" spans="1:9" s="138" customFormat="1">
      <c r="A57" s="257">
        <v>11000</v>
      </c>
      <c r="B57" s="258">
        <v>0</v>
      </c>
      <c r="C57" s="149">
        <f>IF($C$55&gt;A57,A57,$C$55)</f>
        <v>11000</v>
      </c>
      <c r="D57" s="150">
        <f t="shared" ref="D57:D63" si="4">ROUND(B57*C57,4)</f>
        <v>0</v>
      </c>
      <c r="F57" s="143"/>
      <c r="G57" s="259"/>
      <c r="H57" s="143" t="s">
        <v>123</v>
      </c>
    </row>
    <row r="58" spans="1:9" s="138" customFormat="1">
      <c r="A58" s="257">
        <v>18000</v>
      </c>
      <c r="B58" s="258">
        <v>-0.25</v>
      </c>
      <c r="C58" s="149">
        <f>IF($C$55&gt;A58,A58-A57,$C$55-C57)</f>
        <v>7000</v>
      </c>
      <c r="D58" s="150">
        <f t="shared" si="4"/>
        <v>-1750</v>
      </c>
      <c r="F58" s="143"/>
      <c r="G58" s="259">
        <f>IF(C58&gt;0,B58,"")</f>
        <v>-0.25</v>
      </c>
      <c r="H58" s="143"/>
    </row>
    <row r="59" spans="1:9" s="138" customFormat="1">
      <c r="A59" s="257">
        <v>31000</v>
      </c>
      <c r="B59" s="258">
        <v>-0.35</v>
      </c>
      <c r="C59" s="149">
        <f>IF($C$55&gt;A59,A59-A58,$C$55-SUM($C$57:C58))</f>
        <v>2984.2799999999988</v>
      </c>
      <c r="D59" s="150">
        <f t="shared" si="4"/>
        <v>-1044.498</v>
      </c>
      <c r="F59" s="143"/>
      <c r="G59" s="259">
        <f>IF(C59&gt;0,B59-B58,"")</f>
        <v>-9.9999999999999978E-2</v>
      </c>
      <c r="H59" s="143"/>
    </row>
    <row r="60" spans="1:9" s="138" customFormat="1">
      <c r="A60" s="257">
        <v>60000</v>
      </c>
      <c r="B60" s="258">
        <v>-0.42</v>
      </c>
      <c r="C60" s="149">
        <f>IF($C$55&gt;A60,A60-A59,$C$55-SUM($C$57:C59))</f>
        <v>0</v>
      </c>
      <c r="D60" s="150">
        <f t="shared" si="4"/>
        <v>0</v>
      </c>
      <c r="F60" s="143"/>
      <c r="G60" s="259" t="str">
        <f t="shared" ref="G60:G63" si="5">IF(C60&gt;0,B60-B59,"")</f>
        <v/>
      </c>
      <c r="H60" s="143"/>
    </row>
    <row r="61" spans="1:9" s="138" customFormat="1">
      <c r="A61" s="257">
        <v>90000</v>
      </c>
      <c r="B61" s="258">
        <v>-0.48</v>
      </c>
      <c r="C61" s="149">
        <f>IF($C$55&gt;A61,A61-A60,$C$55-SUM($C$57:C60))</f>
        <v>0</v>
      </c>
      <c r="D61" s="150">
        <f t="shared" si="4"/>
        <v>0</v>
      </c>
      <c r="F61" s="143"/>
      <c r="G61" s="259" t="str">
        <f t="shared" si="5"/>
        <v/>
      </c>
      <c r="H61" s="143"/>
    </row>
    <row r="62" spans="1:9" s="138" customFormat="1">
      <c r="A62" s="257">
        <v>1000000</v>
      </c>
      <c r="B62" s="258">
        <v>-0.5</v>
      </c>
      <c r="C62" s="149">
        <f>IF($C$55&gt;A62,A62-A61,$C$55-SUM($C$57:C61))</f>
        <v>0</v>
      </c>
      <c r="D62" s="150">
        <f t="shared" si="4"/>
        <v>0</v>
      </c>
      <c r="F62" s="143"/>
      <c r="G62" s="259" t="str">
        <f t="shared" si="5"/>
        <v/>
      </c>
      <c r="H62" s="143"/>
    </row>
    <row r="63" spans="1:9" s="138" customFormat="1">
      <c r="A63" s="260"/>
      <c r="B63" s="258">
        <v>-0.55000000000000004</v>
      </c>
      <c r="C63" s="149">
        <f>$C$55-SUM($C$57:C62)</f>
        <v>0</v>
      </c>
      <c r="D63" s="150">
        <f t="shared" si="4"/>
        <v>0</v>
      </c>
      <c r="F63" s="143"/>
      <c r="G63" s="259" t="str">
        <f t="shared" si="5"/>
        <v/>
      </c>
      <c r="H63" s="143"/>
    </row>
    <row r="64" spans="1:9" s="138" customFormat="1" ht="1.8" customHeight="1">
      <c r="A64" s="231"/>
      <c r="B64" s="145"/>
      <c r="C64" s="237"/>
      <c r="E64" s="256"/>
      <c r="F64" s="143"/>
      <c r="G64" s="142"/>
      <c r="H64" s="143"/>
    </row>
    <row r="65" spans="1:8" s="138" customFormat="1">
      <c r="A65" s="202" t="s">
        <v>125</v>
      </c>
      <c r="B65" s="261">
        <v>0</v>
      </c>
      <c r="C65" s="237"/>
      <c r="E65" s="256">
        <f t="shared" ref="E65:E68" si="6">F65/C$55</f>
        <v>0</v>
      </c>
      <c r="F65" s="262"/>
      <c r="G65" s="142"/>
      <c r="H65" s="173" t="s">
        <v>127</v>
      </c>
    </row>
    <row r="66" spans="1:8" s="138" customFormat="1">
      <c r="A66" s="202" t="s">
        <v>126</v>
      </c>
      <c r="B66" s="261">
        <v>0</v>
      </c>
      <c r="C66" s="237"/>
      <c r="E66" s="256">
        <f t="shared" si="6"/>
        <v>0</v>
      </c>
      <c r="F66" s="262"/>
      <c r="G66" s="142"/>
      <c r="H66" s="143"/>
    </row>
    <row r="67" spans="1:8" s="138" customFormat="1" hidden="1">
      <c r="A67" s="263" t="s">
        <v>53</v>
      </c>
      <c r="B67" s="145"/>
      <c r="C67" s="237"/>
      <c r="E67" s="256"/>
      <c r="F67" s="264">
        <f>ROUND(IF(SUM(F55,F65)&gt;0,F66,SUM(F55,F65:F66)),2)</f>
        <v>-2794.5</v>
      </c>
      <c r="G67" s="142"/>
      <c r="H67" s="143"/>
    </row>
    <row r="68" spans="1:8" s="138" customFormat="1">
      <c r="A68" s="202" t="str">
        <f>IF(SUM(B68:B69)=1,"Ek Ehe-/Lebenspartner &lt; 6000,-/Jahr","Alleinverdiener, -erzieherabsetzbetrag")</f>
        <v>Alleinverdiener, -erzieherabsetzbetrag</v>
      </c>
      <c r="B68" s="261">
        <f>IF(ISBLANK(F68),0,1)</f>
        <v>0</v>
      </c>
      <c r="C68" s="265"/>
      <c r="E68" s="256">
        <f t="shared" si="6"/>
        <v>0</v>
      </c>
      <c r="F68" s="262"/>
      <c r="G68" s="142"/>
    </row>
    <row r="69" spans="1:8" s="138" customFormat="1">
      <c r="A69" s="241" t="s">
        <v>52</v>
      </c>
      <c r="B69" s="261">
        <f>IF(F69=130,1,IF(F69=305,2,IF(F69=525,3,IF(F69=745,4,IF(F69=965,5,IF(F69=1185,6,IF(F69=1405,7,0)))))))</f>
        <v>0</v>
      </c>
      <c r="C69" s="243"/>
      <c r="D69" s="241"/>
      <c r="E69" s="256">
        <f>F69/C$55</f>
        <v>0</v>
      </c>
      <c r="F69" s="262"/>
      <c r="G69" s="142"/>
    </row>
    <row r="70" spans="1:8" s="138" customFormat="1" hidden="1">
      <c r="A70" s="246" t="s">
        <v>53</v>
      </c>
      <c r="B70" s="246"/>
      <c r="C70" s="247"/>
      <c r="D70" s="246"/>
      <c r="E70" s="266"/>
      <c r="F70" s="247">
        <f>ROUND(IF(F69=0,IF(SUM(F67,F68)&gt;0,0,SUM(F67:F69)),SUM(F67:F69)),2)</f>
        <v>-2794.5</v>
      </c>
      <c r="G70" s="142"/>
    </row>
    <row r="71" spans="1:8" s="138" customFormat="1">
      <c r="A71" s="267" t="s">
        <v>54</v>
      </c>
      <c r="B71" s="268">
        <f>IF(F71&gt;0,1,0)</f>
        <v>0</v>
      </c>
      <c r="C71" s="237"/>
      <c r="E71" s="256">
        <f>F71/C$55</f>
        <v>0</v>
      </c>
      <c r="F71" s="262"/>
      <c r="G71" s="142"/>
    </row>
    <row r="72" spans="1:8" s="138" customFormat="1">
      <c r="A72" s="269" t="str">
        <f>IF(F72&lt;=0,"Einkommensteuer (ESt) des Jahres","ESt-Gutschrift aus Negativsteuer")</f>
        <v>Einkommensteuer (ESt) des Jahres</v>
      </c>
      <c r="B72" s="269"/>
      <c r="C72" s="247">
        <f>F72</f>
        <v>-2795</v>
      </c>
      <c r="D72" s="233">
        <f>ROUND(C72/C37,3)</f>
        <v>-0.1</v>
      </c>
      <c r="E72" s="266">
        <f>SUM(E55:E71)</f>
        <v>-0.13317111666447456</v>
      </c>
      <c r="F72" s="247">
        <f>ROUND(IF(F70&gt;0,F70,IF(SUM(F70:F71)&gt;0,0,SUM(F70:F71))),0)</f>
        <v>-2795</v>
      </c>
      <c r="G72" s="237" t="str">
        <f>IF(G49="inkl. MKZ für",IF(B69&gt;2,IF(ISBLANK(G51),ROUND(G50*20,2),ROUND(G51*20,2)),""),"")</f>
        <v/>
      </c>
    </row>
    <row r="73" spans="1:8" s="138" customFormat="1" ht="13.5" customHeight="1" thickBot="1">
      <c r="A73" s="270" t="s">
        <v>103</v>
      </c>
      <c r="B73" s="271"/>
      <c r="C73" s="272">
        <f>SUM(C55,C72)</f>
        <v>18189.28</v>
      </c>
      <c r="D73" s="273">
        <f>ROUND(C73/C37,3)</f>
        <v>0.65300000000000002</v>
      </c>
      <c r="E73" s="327" t="str">
        <f>IF(C55&lt;=11000,"",CONCATENATE(" (Grenzsteuersatz .. ",SUM(G58:G63)*-100," %)"))</f>
        <v xml:space="preserve"> (Grenzsteuersatz .. 35 %)</v>
      </c>
      <c r="F73" s="327"/>
    </row>
    <row r="74" spans="1:8" s="138" customFormat="1" ht="29.25" customHeight="1" thickTop="1">
      <c r="A74" s="274"/>
      <c r="B74" s="274"/>
      <c r="C74" s="275"/>
      <c r="D74" s="275"/>
      <c r="E74" s="275"/>
      <c r="F74" s="276"/>
    </row>
    <row r="75" spans="1:8" ht="12">
      <c r="A75" s="179" t="s">
        <v>63</v>
      </c>
      <c r="B75" s="181" t="s">
        <v>0</v>
      </c>
      <c r="C75" s="181" t="s">
        <v>1</v>
      </c>
      <c r="D75" s="206" t="s">
        <v>4</v>
      </c>
      <c r="E75" s="207"/>
      <c r="F75" s="104" t="s">
        <v>58</v>
      </c>
    </row>
    <row r="76" spans="1:8">
      <c r="A76" s="184" t="s">
        <v>5</v>
      </c>
      <c r="B76" s="277">
        <f>ROUND(B11,2)</f>
        <v>3000</v>
      </c>
      <c r="C76" s="209">
        <f>B76*12</f>
        <v>36000</v>
      </c>
      <c r="D76" s="278">
        <v>1</v>
      </c>
    </row>
    <row r="77" spans="1:8">
      <c r="A77" s="184" t="s">
        <v>92</v>
      </c>
      <c r="B77" s="279">
        <f>ROUND(SUM(B14:B16,B18:B23,B25:B30,B32:B33),2)</f>
        <v>0</v>
      </c>
      <c r="C77" s="209">
        <f>B77*12</f>
        <v>0</v>
      </c>
      <c r="D77" s="278">
        <f>ROUND(B77/B76,3)</f>
        <v>0</v>
      </c>
    </row>
    <row r="78" spans="1:8">
      <c r="A78" s="213" t="s">
        <v>7</v>
      </c>
      <c r="B78" s="277">
        <f>ROUND(B47,2)</f>
        <v>-944.71</v>
      </c>
      <c r="C78" s="209">
        <f>B78*12</f>
        <v>-11336.52</v>
      </c>
      <c r="D78" s="278">
        <f>ROUND(B78/B76,3)</f>
        <v>-0.315</v>
      </c>
      <c r="E78" s="142" t="str">
        <f>CONCATENATE(" (davon  ",ROUND(SUM(C40,C78),2)," Nachforderung)")</f>
        <v xml:space="preserve"> (davon  -3176,52 Nachforderung)</v>
      </c>
    </row>
    <row r="79" spans="1:8">
      <c r="A79" s="184" t="s">
        <v>102</v>
      </c>
      <c r="B79" s="277">
        <f>ROUND(C72/12,2)</f>
        <v>-232.92</v>
      </c>
      <c r="C79" s="209">
        <f>B79*12</f>
        <v>-2795.04</v>
      </c>
      <c r="D79" s="278">
        <f>ROUND(B79/B76,3)</f>
        <v>-7.8E-2</v>
      </c>
    </row>
    <row r="80" spans="1:8" ht="12" thickBot="1">
      <c r="A80" s="190" t="s">
        <v>55</v>
      </c>
      <c r="B80" s="280">
        <f>ROUND(SUM(B76:B79),2)</f>
        <v>1822.37</v>
      </c>
      <c r="C80" s="281">
        <f>B80*12</f>
        <v>21868.44</v>
      </c>
      <c r="D80" s="282">
        <f>ROUND(B80/B76,4)</f>
        <v>0.60750000000000004</v>
      </c>
      <c r="E80" s="283"/>
      <c r="F80" s="193"/>
    </row>
    <row r="81" spans="1:6" ht="12.6" thickTop="1" thickBot="1">
      <c r="A81" s="284" t="s">
        <v>56</v>
      </c>
      <c r="B81" s="285">
        <f>ROUND(B80*12/14,2)</f>
        <v>1562.03</v>
      </c>
      <c r="C81" s="286"/>
      <c r="D81" s="287"/>
      <c r="E81" s="288"/>
      <c r="F81" s="288"/>
    </row>
    <row r="82" spans="1:6" s="138" customFormat="1" ht="25.5" customHeight="1" thickTop="1">
      <c r="A82" s="274"/>
      <c r="B82" s="274"/>
      <c r="C82" s="275"/>
      <c r="D82" s="275"/>
      <c r="E82" s="275"/>
      <c r="F82" s="276"/>
    </row>
    <row r="83" spans="1:6" ht="13.2">
      <c r="A83" s="289" t="s">
        <v>64</v>
      </c>
      <c r="B83" s="181" t="s">
        <v>0</v>
      </c>
      <c r="C83" s="181" t="s">
        <v>1</v>
      </c>
      <c r="D83" s="206"/>
      <c r="E83" s="207"/>
      <c r="F83" s="104" t="s">
        <v>58</v>
      </c>
    </row>
    <row r="84" spans="1:6" ht="13.5" customHeight="1">
      <c r="A84" s="138" t="s">
        <v>59</v>
      </c>
      <c r="B84" s="162">
        <f>C84/12</f>
        <v>2055.29</v>
      </c>
      <c r="C84" s="162">
        <f>C11+C34+C47-C17-C31-C33</f>
        <v>24663.48</v>
      </c>
    </row>
    <row r="85" spans="1:6">
      <c r="A85" s="138" t="s">
        <v>60</v>
      </c>
      <c r="B85" s="162">
        <f>C85/12</f>
        <v>0</v>
      </c>
      <c r="C85" s="162">
        <f>C33</f>
        <v>0</v>
      </c>
    </row>
    <row r="86" spans="1:6">
      <c r="A86" s="269" t="s">
        <v>61</v>
      </c>
      <c r="B86" s="247">
        <f>SUM(B84:B85)</f>
        <v>2055.29</v>
      </c>
      <c r="C86" s="247">
        <f>SUM(C84:C85)</f>
        <v>24663.48</v>
      </c>
    </row>
    <row r="87" spans="1:6">
      <c r="A87" s="138" t="s">
        <v>62</v>
      </c>
      <c r="B87" s="162">
        <f>C87/12</f>
        <v>0</v>
      </c>
      <c r="C87" s="162">
        <f>C17</f>
        <v>0</v>
      </c>
    </row>
    <row r="88" spans="1:6" ht="12" thickBot="1">
      <c r="A88" s="291" t="str">
        <f>IF(C88&lt;0,"   V e r l u s t","   G e w i n n   ( Überschuß)")</f>
        <v xml:space="preserve">   G e w i n n   ( Überschuß)</v>
      </c>
      <c r="B88" s="292">
        <f>ROUND(SUM(B86:B87),2)</f>
        <v>2055.29</v>
      </c>
      <c r="C88" s="292">
        <f>ROUND(SUM(C86:C87),2)</f>
        <v>24663.48</v>
      </c>
      <c r="D88" s="293"/>
      <c r="E88" s="193"/>
      <c r="F88" s="193"/>
    </row>
    <row r="89" spans="1:6" s="138" customFormat="1" ht="25.5" customHeight="1" thickTop="1">
      <c r="A89" s="274"/>
      <c r="B89" s="274"/>
      <c r="C89" s="275"/>
      <c r="D89" s="275"/>
      <c r="E89" s="275"/>
      <c r="F89" s="276"/>
    </row>
    <row r="90" spans="1:6" ht="13.2">
      <c r="A90" s="289" t="s">
        <v>65</v>
      </c>
      <c r="B90" s="181" t="s">
        <v>0</v>
      </c>
      <c r="C90" s="181" t="s">
        <v>1</v>
      </c>
      <c r="D90" s="206"/>
      <c r="E90" s="207"/>
      <c r="F90" s="104" t="s">
        <v>58</v>
      </c>
    </row>
    <row r="91" spans="1:6" ht="12.75" customHeight="1">
      <c r="A91" s="184" t="s">
        <v>66</v>
      </c>
      <c r="C91" s="294"/>
    </row>
    <row r="92" spans="1:6">
      <c r="A92" s="295" t="s">
        <v>67</v>
      </c>
      <c r="B92" s="296"/>
      <c r="C92" s="253"/>
    </row>
    <row r="93" spans="1:6" ht="14.25" customHeight="1">
      <c r="A93" s="184" t="s">
        <v>68</v>
      </c>
      <c r="C93" s="209">
        <f>SUM(C91:C92)</f>
        <v>0</v>
      </c>
    </row>
    <row r="94" spans="1:6">
      <c r="A94" s="295" t="s">
        <v>69</v>
      </c>
      <c r="B94" s="296"/>
      <c r="C94" s="253"/>
      <c r="D94" s="297"/>
      <c r="E94" s="298">
        <f>SUM(C93:C94)</f>
        <v>0</v>
      </c>
    </row>
    <row r="95" spans="1:6" ht="17.25" customHeight="1">
      <c r="A95" s="184" t="s">
        <v>70</v>
      </c>
      <c r="B95" s="209">
        <f>C95/12</f>
        <v>1822.37</v>
      </c>
      <c r="C95" s="209">
        <f>C80</f>
        <v>21868.44</v>
      </c>
    </row>
    <row r="96" spans="1:6">
      <c r="A96" s="295" t="s">
        <v>71</v>
      </c>
      <c r="B96" s="253"/>
      <c r="C96" s="298">
        <f>B96*12</f>
        <v>0</v>
      </c>
      <c r="D96" s="297"/>
      <c r="E96" s="298">
        <f>SUM(C95:C96)</f>
        <v>21868.44</v>
      </c>
    </row>
    <row r="97" spans="1:9" ht="13.5" customHeight="1">
      <c r="A97" s="184" t="s">
        <v>72</v>
      </c>
      <c r="B97" s="209">
        <f>C97/12</f>
        <v>0</v>
      </c>
      <c r="C97" s="294"/>
      <c r="E97" s="209">
        <f>C97</f>
        <v>0</v>
      </c>
    </row>
    <row r="98" spans="1:9" ht="15" customHeight="1" thickBot="1">
      <c r="A98" s="291" t="str">
        <f>IF(C98&lt;0,"   U n t e r d e c k u n g   gesamt","   Ü b e r d e c k u n g   gesamt")</f>
        <v xml:space="preserve">   Ü b e r d e c k u n g   gesamt</v>
      </c>
      <c r="B98" s="191"/>
      <c r="C98" s="281">
        <f>SUM(C93:C97)</f>
        <v>21868.44</v>
      </c>
      <c r="D98" s="293"/>
      <c r="E98" s="281">
        <f>SUM(E94:E97)</f>
        <v>21868.44</v>
      </c>
      <c r="F98" s="193"/>
    </row>
    <row r="99" spans="1:9" s="138" customFormat="1" ht="25.5" customHeight="1" thickTop="1">
      <c r="A99" s="274"/>
      <c r="B99" s="274"/>
      <c r="C99" s="275"/>
      <c r="D99" s="275"/>
      <c r="E99" s="275"/>
      <c r="F99" s="276"/>
    </row>
    <row r="100" spans="1:9">
      <c r="C100" s="186"/>
    </row>
    <row r="101" spans="1:9">
      <c r="C101" s="186"/>
    </row>
    <row r="102" spans="1:9">
      <c r="C102" s="186"/>
    </row>
    <row r="103" spans="1:9">
      <c r="C103" s="186"/>
    </row>
    <row r="104" spans="1:9">
      <c r="C104" s="186"/>
    </row>
    <row r="105" spans="1:9">
      <c r="C105" s="186"/>
    </row>
    <row r="106" spans="1:9">
      <c r="C106" s="186"/>
    </row>
    <row r="107" spans="1:9">
      <c r="C107" s="186"/>
    </row>
    <row r="108" spans="1:9">
      <c r="C108" s="186"/>
    </row>
    <row r="109" spans="1:9" s="290" customFormat="1">
      <c r="A109" s="184"/>
      <c r="B109" s="186"/>
      <c r="C109" s="186"/>
      <c r="E109" s="178"/>
      <c r="F109" s="178"/>
      <c r="G109" s="178"/>
      <c r="H109" s="178"/>
      <c r="I109" s="178"/>
    </row>
    <row r="110" spans="1:9" s="290" customFormat="1">
      <c r="A110" s="184"/>
      <c r="B110" s="186"/>
      <c r="C110" s="186"/>
      <c r="E110" s="178"/>
      <c r="F110" s="178"/>
      <c r="G110" s="178"/>
      <c r="H110" s="178"/>
      <c r="I110" s="178"/>
    </row>
    <row r="111" spans="1:9" s="290" customFormat="1">
      <c r="A111" s="184"/>
      <c r="B111" s="186"/>
      <c r="C111" s="186"/>
      <c r="E111" s="178"/>
      <c r="F111" s="178"/>
      <c r="G111" s="178"/>
      <c r="H111" s="178"/>
      <c r="I111" s="178"/>
    </row>
    <row r="112" spans="1:9" s="290" customFormat="1">
      <c r="A112" s="184"/>
      <c r="B112" s="186"/>
      <c r="C112" s="186"/>
      <c r="E112" s="178"/>
      <c r="F112" s="178"/>
      <c r="G112" s="178"/>
      <c r="H112" s="178"/>
      <c r="I112" s="178"/>
    </row>
    <row r="113" spans="1:9" s="290" customFormat="1">
      <c r="A113" s="184"/>
      <c r="B113" s="186"/>
      <c r="C113" s="186"/>
      <c r="E113" s="178"/>
      <c r="F113" s="178"/>
      <c r="G113" s="178"/>
      <c r="H113" s="178"/>
      <c r="I113" s="178"/>
    </row>
    <row r="114" spans="1:9" s="290" customFormat="1">
      <c r="A114" s="184"/>
      <c r="B114" s="186"/>
      <c r="C114" s="186"/>
      <c r="E114" s="178"/>
      <c r="F114" s="178"/>
      <c r="G114" s="178"/>
      <c r="H114" s="178"/>
      <c r="I114" s="178"/>
    </row>
    <row r="115" spans="1:9" s="290" customFormat="1">
      <c r="A115" s="184"/>
      <c r="B115" s="186"/>
      <c r="C115" s="186"/>
      <c r="E115" s="178"/>
      <c r="F115" s="178"/>
      <c r="G115" s="178"/>
      <c r="H115" s="178"/>
      <c r="I115" s="178"/>
    </row>
    <row r="116" spans="1:9" s="290" customFormat="1">
      <c r="A116" s="184"/>
      <c r="B116" s="186"/>
      <c r="C116" s="186"/>
      <c r="E116" s="178"/>
      <c r="F116" s="178"/>
      <c r="G116" s="178"/>
      <c r="H116" s="178"/>
      <c r="I116" s="178"/>
    </row>
    <row r="117" spans="1:9" s="290" customFormat="1">
      <c r="A117" s="184"/>
      <c r="B117" s="186"/>
      <c r="C117" s="186"/>
      <c r="E117" s="178"/>
      <c r="F117" s="178"/>
      <c r="G117" s="178"/>
      <c r="H117" s="178"/>
      <c r="I117" s="178"/>
    </row>
    <row r="118" spans="1:9" s="290" customFormat="1">
      <c r="A118" s="184"/>
      <c r="B118" s="186"/>
      <c r="C118" s="186"/>
      <c r="E118" s="178"/>
      <c r="F118" s="178"/>
      <c r="G118" s="178"/>
      <c r="H118" s="178"/>
      <c r="I118" s="178"/>
    </row>
    <row r="119" spans="1:9" s="290" customFormat="1">
      <c r="A119" s="184"/>
      <c r="B119" s="186"/>
      <c r="C119" s="186"/>
      <c r="E119" s="178"/>
      <c r="F119" s="178"/>
      <c r="G119" s="178"/>
      <c r="H119" s="178"/>
      <c r="I119" s="178"/>
    </row>
    <row r="120" spans="1:9" s="290" customFormat="1">
      <c r="A120" s="184"/>
      <c r="B120" s="186"/>
      <c r="C120" s="186"/>
      <c r="E120" s="178"/>
      <c r="F120" s="178"/>
      <c r="G120" s="178"/>
      <c r="H120" s="178"/>
      <c r="I120" s="178"/>
    </row>
  </sheetData>
  <sheetProtection password="C837" sheet="1" objects="1" scenarios="1" autoFilter="0"/>
  <mergeCells count="4">
    <mergeCell ref="A1:D1"/>
    <mergeCell ref="E1:F1"/>
    <mergeCell ref="D42:F42"/>
    <mergeCell ref="E73:F73"/>
  </mergeCells>
  <conditionalFormatting sqref="F68">
    <cfRule type="expression" dxfId="164" priority="1">
      <formula>AND($F$66&gt;0,$F$69&lt;1)</formula>
    </cfRule>
    <cfRule type="expression" dxfId="163" priority="5" stopIfTrue="1">
      <formula>AND(F68=0,F69&gt;0)</formula>
    </cfRule>
  </conditionalFormatting>
  <conditionalFormatting sqref="B68">
    <cfRule type="expression" dxfId="162" priority="6" stopIfTrue="1">
      <formula>AND(F68=0,F69&gt;0)</formula>
    </cfRule>
  </conditionalFormatting>
  <conditionalFormatting sqref="B69">
    <cfRule type="expression" dxfId="161" priority="7" stopIfTrue="1">
      <formula>AND(F68=0,F69&gt;0)</formula>
    </cfRule>
  </conditionalFormatting>
  <conditionalFormatting sqref="G49">
    <cfRule type="expression" dxfId="160" priority="8" stopIfTrue="1">
      <formula>AND(B69&gt;2)</formula>
    </cfRule>
  </conditionalFormatting>
  <conditionalFormatting sqref="G52:G56 G64:G71">
    <cfRule type="expression" dxfId="159" priority="9" stopIfTrue="1">
      <formula>AND(B$69&gt;2)</formula>
    </cfRule>
  </conditionalFormatting>
  <conditionalFormatting sqref="G72">
    <cfRule type="expression" dxfId="158" priority="10" stopIfTrue="1">
      <formula>AND(B69&gt;2)</formula>
    </cfRule>
  </conditionalFormatting>
  <conditionalFormatting sqref="G48">
    <cfRule type="expression" dxfId="157" priority="11" stopIfTrue="1">
      <formula>AND(B69&gt;2)</formula>
    </cfRule>
  </conditionalFormatting>
  <conditionalFormatting sqref="G51">
    <cfRule type="expression" dxfId="156" priority="12" stopIfTrue="1">
      <formula>AND(B69&gt;2)</formula>
    </cfRule>
  </conditionalFormatting>
  <conditionalFormatting sqref="G50">
    <cfRule type="expression" dxfId="155" priority="13" stopIfTrue="1">
      <formula>AND(B69&gt;2)</formula>
    </cfRule>
  </conditionalFormatting>
  <conditionalFormatting sqref="E78">
    <cfRule type="expression" dxfId="154" priority="14" stopIfTrue="1">
      <formula>SUM(C40,C78)&lt;0</formula>
    </cfRule>
  </conditionalFormatting>
  <conditionalFormatting sqref="D38">
    <cfRule type="cellIs" dxfId="153" priority="15" stopIfTrue="1" operator="notBetween">
      <formula>0</formula>
      <formula>-0.13</formula>
    </cfRule>
  </conditionalFormatting>
  <conditionalFormatting sqref="F69">
    <cfRule type="expression" dxfId="152" priority="2">
      <formula>AND(F66&gt;0,F69&lt;1)</formula>
    </cfRule>
    <cfRule type="expression" dxfId="151" priority="16" stopIfTrue="1">
      <formula>AND(F68=0,F69&gt;0)</formula>
    </cfRule>
    <cfRule type="expression" dxfId="150" priority="17" stopIfTrue="1">
      <formula>AND(F68&gt;0,F69=0)</formula>
    </cfRule>
  </conditionalFormatting>
  <conditionalFormatting sqref="G57:G63">
    <cfRule type="expression" dxfId="149" priority="4" stopIfTrue="1">
      <formula>AND(B$69&gt;2)</formula>
    </cfRule>
  </conditionalFormatting>
  <conditionalFormatting sqref="F65">
    <cfRule type="expression" dxfId="148" priority="3">
      <formula>AND(SUM($F$55,$F$65)&gt;0)</formula>
    </cfRule>
  </conditionalFormatting>
  <dataValidations count="22">
    <dataValidation type="decimal" allowBlank="1" showInputMessage="1" showErrorMessage="1" sqref="F66">
      <formula1>0</formula1>
      <formula2>2499</formula2>
    </dataValidation>
    <dataValidation type="decimal" allowBlank="1" showInputMessage="1" showErrorMessage="1" sqref="F65">
      <formula1>0</formula1>
      <formula2>14999</formula2>
    </dataValidation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allowBlank="1" showInputMessage="1" showErrorMessage="1" errorTitle="RVO zu Unterhaltsabsetzbetrag:" error="Eingabe derzeit auf 0 bis 2.000,- beschränkt!" sqref="F71">
      <formula1>0</formula1>
      <formula2>2000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KiFB:" error="Die Eingabe erlaubt einen negativen Wert von -2200,- bis 0!" sqref="C51">
      <formula1>-3080</formula1>
      <formula2>0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: Fehler zu Einnahme!" error="Werte zwischen Null und 999.999,- erlaubt!" sqref="C94 B3:B10">
      <formula1>0</formula1>
      <formula2>999999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Ausgabe!" error="Nur negative Werte zwischen Null und &quot;Minus&quot;  -999.999,- erlaubt!" sqref="C91:C92 B96 B14:B33">
      <formula1>-999999</formula1>
      <formula2>0</formula2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list" allowBlank="1" showInputMessage="1" showErrorMessage="1" errorTitle="RVO zu Kinderzuschlag:" error="Eingabe lt. Liste. Die Werte steigen nach Anzahl der Kinder!" sqref="F69">
      <formula1>"0,130,305,525,745,965,1185,1405"</formula1>
    </dataValidation>
    <dataValidation type="list" operator="equal" allowBlank="1" showInputMessage="1" showErrorMessage="1" errorTitle="RVO zu Absetzbetrag:" error="Wert Null oder 364 gefordert!" sqref="F68">
      <formula1>"0,364"</formula1>
    </dataValidation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</dataValidations>
  <hyperlinks>
    <hyperlink ref="F36" r:id="rId1" display="www.rvo.at"/>
    <hyperlink ref="F75" r:id="rId2" display="www.rvo.at"/>
    <hyperlink ref="F83" r:id="rId3" display="www.rvo.at"/>
    <hyperlink ref="F90" r:id="rId4" display="www.rvo.at"/>
    <hyperlink ref="G43" r:id="rId5"/>
    <hyperlink ref="H65" r:id="rId6"/>
    <hyperlink ref="H48" r:id="rId7" display="https://www.frauen-familien-jugend.bka.gv.at/familie/finanzielle-unterstuetzungen/mehrkindzuschlag.html"/>
  </hyperlinks>
  <printOptions horizontalCentered="1" gridLines="1"/>
  <pageMargins left="0.35" right="0.21" top="0.48" bottom="0.49" header="0.25" footer="0.23"/>
  <pageSetup paperSize="9" orientation="portrait" r:id="rId8"/>
  <headerFooter alignWithMargins="0">
    <oddHeader>&amp;L&amp;8&amp;F&amp;C&amp;8&amp;A&amp;R&amp;8&amp;D</oddHeader>
    <oddFooter>&amp;L&amp;8copyright © www.rvo.at</oddFooter>
  </headerFooter>
  <legacyDrawing r:id="rId9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7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88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20.25" customHeight="1" thickTop="1">
      <c r="A35" s="10"/>
      <c r="B35" s="11"/>
      <c r="C35" s="11"/>
      <c r="D35" s="12"/>
      <c r="E35" s="13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30"/>
    </row>
    <row r="40" spans="1:9">
      <c r="A40" s="16" t="s">
        <v>89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-9.6</v>
      </c>
      <c r="C42" s="52">
        <f>ROUND(B42*12,2)</f>
        <v>-115.2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-499.20400000000001</v>
      </c>
      <c r="C43" s="52">
        <f>B43*12</f>
        <v>-5990.4480000000003</v>
      </c>
      <c r="D43" s="69">
        <v>-0.185</v>
      </c>
      <c r="E43" s="44">
        <v>654.25</v>
      </c>
      <c r="F43" s="119">
        <v>5985</v>
      </c>
      <c r="G43" s="127" t="s">
        <v>73</v>
      </c>
    </row>
    <row r="44" spans="1:9" ht="13.2" outlineLevel="1">
      <c r="A44" s="117" t="s">
        <v>79</v>
      </c>
      <c r="B44" s="52">
        <f>IF(B$41&lt;E44,E44*D44,IF(B$41&gt;F44,F44*D44,B$41*D44))</f>
        <v>-206.42760000000001</v>
      </c>
      <c r="C44" s="52">
        <f>B44*12</f>
        <v>-2477.1312000000003</v>
      </c>
      <c r="D44" s="69">
        <v>-7.6499999999999999E-2</v>
      </c>
      <c r="E44" s="44">
        <v>438.05</v>
      </c>
      <c r="F44" s="119">
        <v>5985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-45.785249999999998</v>
      </c>
      <c r="C45" s="52">
        <f>B45*12</f>
        <v>-549.423</v>
      </c>
      <c r="D45" s="69">
        <v>-1.5299999999999999E-2</v>
      </c>
      <c r="E45" s="44">
        <v>2992.5</v>
      </c>
      <c r="F45" s="119">
        <v>2992.5</v>
      </c>
      <c r="G45" s="115"/>
    </row>
    <row r="46" spans="1:9" outlineLevel="1">
      <c r="A46" s="118" t="s">
        <v>98</v>
      </c>
      <c r="B46" s="52">
        <f>IF(B$41&lt;E46,E46*D46,IF(B$41&gt;F46,F46*D46,B$41*D46))</f>
        <v>-179.54999999999998</v>
      </c>
      <c r="C46" s="52">
        <f>B46*12</f>
        <v>-2154.6</v>
      </c>
      <c r="D46" s="69">
        <v>-0.06</v>
      </c>
      <c r="E46" s="44">
        <v>2992.5</v>
      </c>
      <c r="F46" s="119">
        <v>2992.5</v>
      </c>
    </row>
    <row r="47" spans="1:9">
      <c r="A47" s="32" t="s">
        <v>7</v>
      </c>
      <c r="B47" s="47">
        <f>ROUND(SUM(B42:B46),2)</f>
        <v>-940.57</v>
      </c>
      <c r="C47" s="47">
        <f>ROUND(SUM(C42:C46),2)</f>
        <v>-11286.8</v>
      </c>
      <c r="D47" s="48">
        <f>ROUND(C47/C37,3)</f>
        <v>-0.40500000000000003</v>
      </c>
      <c r="E47" s="33"/>
      <c r="F47" s="33"/>
    </row>
    <row r="48" spans="1:9" ht="13.5" customHeight="1">
      <c r="A48" s="70" t="s">
        <v>45</v>
      </c>
      <c r="B48" s="50">
        <f>SUM(B41,B47)</f>
        <v>1757.83</v>
      </c>
      <c r="C48" s="50">
        <f>SUM(C37:C40,C47)</f>
        <v>21094</v>
      </c>
      <c r="D48" s="51">
        <f>ROUND(C48/C37,3)</f>
        <v>0.75800000000000001</v>
      </c>
      <c r="E48" s="71" t="s">
        <v>46</v>
      </c>
      <c r="F48" s="71" t="s">
        <v>47</v>
      </c>
      <c r="G48" s="72" t="str">
        <f>IF(B66&gt;2,"MKZ","")</f>
        <v/>
      </c>
      <c r="H48" s="15"/>
      <c r="I48" s="15"/>
    </row>
    <row r="49" spans="1:9" ht="13.5" customHeight="1">
      <c r="A49" s="73" t="s">
        <v>48</v>
      </c>
      <c r="B49" s="73"/>
      <c r="C49" s="74">
        <f>IF(ISBLANK(E49),-60,ROUND(MIN(-60,IF(C48&lt;36400,MIN(E49,F49)/-4,((60000-C48)*(MIN(E49,F49)/4-60)/23600+60)*-1)),2))</f>
        <v>-60</v>
      </c>
      <c r="D49" s="3"/>
      <c r="E49" s="75"/>
      <c r="F49" s="76">
        <f>IF(B65=0,2920,IF(B66&lt;3,5840,IF(G49="ohne MKZ",5840,5840)))</f>
        <v>2920</v>
      </c>
      <c r="G49" s="77"/>
      <c r="H49" s="15"/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für",IF(ISBLANK(G51),ROUND((B66-2)*12,0),""),"")</f>
        <v/>
      </c>
      <c r="H50" s="15"/>
      <c r="I50" s="15"/>
    </row>
    <row r="51" spans="1:9">
      <c r="A51" s="19" t="s">
        <v>87</v>
      </c>
      <c r="B51" s="19"/>
      <c r="C51" s="45"/>
      <c r="D51" s="16"/>
      <c r="E51" s="120"/>
      <c r="F51" s="21"/>
      <c r="G51" s="102"/>
      <c r="H51" s="15"/>
      <c r="I51" s="15"/>
    </row>
    <row r="52" spans="1:9" hidden="1">
      <c r="A52" s="79" t="s">
        <v>50</v>
      </c>
      <c r="B52" s="79"/>
      <c r="C52" s="80">
        <f>ROUND(IF(SUM(C48:C51)&lt;0,0,SUM(C48:C51)),2)</f>
        <v>21034</v>
      </c>
      <c r="D52" s="81"/>
      <c r="E52" s="82"/>
      <c r="F52" s="83">
        <f>ROUND(IF(C52&gt;36400,0.12,IF(C52&gt;14600,0.1,IF(C52&gt;7300,0.08,0.06)))-SUM(B65/100,B66/100),3)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2103.4</v>
      </c>
      <c r="G53" s="103"/>
      <c r="H53" s="15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101</v>
      </c>
      <c r="B55" s="86">
        <v>1</v>
      </c>
      <c r="C55" s="80">
        <f>ROUND(IF(SUM(C52:C54)&lt;0,0,SUM(C52:C54)),2)</f>
        <v>21034</v>
      </c>
      <c r="E55" s="87">
        <f>F55/C55</f>
        <v>-0.13368355995055625</v>
      </c>
      <c r="F55" s="23">
        <f>ROUND(SUM(D57:D63),2)</f>
        <v>-2811.9</v>
      </c>
      <c r="G55" s="103"/>
      <c r="H55" s="23"/>
    </row>
    <row r="56" spans="1:9" s="20" customFormat="1" ht="3.6" customHeight="1">
      <c r="A56" s="70"/>
      <c r="B56" s="86"/>
      <c r="C56" s="74"/>
      <c r="E56" s="87"/>
      <c r="F56" s="23"/>
      <c r="G56" s="103"/>
      <c r="H56" s="23"/>
    </row>
    <row r="57" spans="1:9" s="20" customFormat="1">
      <c r="A57" s="131">
        <v>11000</v>
      </c>
      <c r="B57" s="132">
        <v>0</v>
      </c>
      <c r="C57" s="134">
        <f>IF($C$55&gt;A57,A57,$C$55)</f>
        <v>11000</v>
      </c>
      <c r="D57" s="135">
        <f t="shared" ref="D57:D63" si="4">ROUND(B57*C57,4)</f>
        <v>0</v>
      </c>
      <c r="F57" s="23"/>
      <c r="G57" s="170"/>
      <c r="H57" s="23" t="s">
        <v>123</v>
      </c>
    </row>
    <row r="58" spans="1:9" s="20" customFormat="1">
      <c r="A58" s="131">
        <v>18000</v>
      </c>
      <c r="B58" s="132">
        <v>-0.25</v>
      </c>
      <c r="C58" s="134">
        <f>IF($C$55&gt;A58,A58-A57,$C$55-C57)</f>
        <v>7000</v>
      </c>
      <c r="D58" s="135">
        <f t="shared" si="4"/>
        <v>-1750</v>
      </c>
      <c r="F58" s="23"/>
      <c r="G58" s="170">
        <f>IF(C58&gt;0,B58,"")</f>
        <v>-0.25</v>
      </c>
      <c r="H58" s="23"/>
    </row>
    <row r="59" spans="1:9" s="20" customFormat="1">
      <c r="A59" s="131">
        <v>31000</v>
      </c>
      <c r="B59" s="132">
        <v>-0.35</v>
      </c>
      <c r="C59" s="134">
        <f>IF($C$55&gt;A59,A59-A58,$C$55-SUM($C$57:C58))</f>
        <v>3034</v>
      </c>
      <c r="D59" s="135">
        <f t="shared" si="4"/>
        <v>-1061.9000000000001</v>
      </c>
      <c r="F59" s="23"/>
      <c r="G59" s="170">
        <f>IF(C59&gt;0,B59-B58,"")</f>
        <v>-9.9999999999999978E-2</v>
      </c>
      <c r="H59" s="23"/>
    </row>
    <row r="60" spans="1:9" s="20" customFormat="1">
      <c r="A60" s="131">
        <v>60000</v>
      </c>
      <c r="B60" s="132">
        <v>-0.42</v>
      </c>
      <c r="C60" s="134">
        <f>IF($C$55&gt;A60,A60-A59,$C$55-SUM($C$57:C59))</f>
        <v>0</v>
      </c>
      <c r="D60" s="135">
        <f t="shared" si="4"/>
        <v>0</v>
      </c>
      <c r="F60" s="23"/>
      <c r="G60" s="170" t="str">
        <f t="shared" ref="G60:G63" si="5">IF(C60&gt;0,B60-B59,"")</f>
        <v/>
      </c>
      <c r="H60" s="23"/>
    </row>
    <row r="61" spans="1:9" s="20" customFormat="1">
      <c r="A61" s="131">
        <v>90000</v>
      </c>
      <c r="B61" s="132">
        <v>-0.48</v>
      </c>
      <c r="C61" s="134">
        <f>IF($C$55&gt;A61,A61-A60,$C$55-SUM($C$57:C60))</f>
        <v>0</v>
      </c>
      <c r="D61" s="135">
        <f t="shared" si="4"/>
        <v>0</v>
      </c>
      <c r="F61" s="23"/>
      <c r="G61" s="170" t="str">
        <f t="shared" si="5"/>
        <v/>
      </c>
      <c r="H61" s="23"/>
    </row>
    <row r="62" spans="1:9" s="20" customFormat="1">
      <c r="A62" s="131">
        <v>1000000</v>
      </c>
      <c r="B62" s="132">
        <v>-0.5</v>
      </c>
      <c r="C62" s="134">
        <f>IF($C$55&gt;A62,A62-A61,$C$55-SUM($C$57:C61))</f>
        <v>0</v>
      </c>
      <c r="D62" s="135">
        <f t="shared" si="4"/>
        <v>0</v>
      </c>
      <c r="F62" s="23"/>
      <c r="G62" s="170" t="str">
        <f t="shared" si="5"/>
        <v/>
      </c>
      <c r="H62" s="23"/>
    </row>
    <row r="63" spans="1:9" s="20" customFormat="1">
      <c r="A63" s="133"/>
      <c r="B63" s="132">
        <v>-0.55000000000000004</v>
      </c>
      <c r="C63" s="134">
        <f>$C$55-SUM($C$57:C62)</f>
        <v>0</v>
      </c>
      <c r="D63" s="135">
        <f t="shared" si="4"/>
        <v>0</v>
      </c>
      <c r="F63" s="23"/>
      <c r="G63" s="170" t="str">
        <f t="shared" si="5"/>
        <v/>
      </c>
      <c r="H63" s="23"/>
    </row>
    <row r="64" spans="1:9" s="20" customFormat="1" ht="3" customHeight="1">
      <c r="A64" s="70"/>
      <c r="B64" s="86"/>
      <c r="C64" s="74"/>
      <c r="E64" s="87"/>
      <c r="F64" s="23"/>
      <c r="G64" s="103"/>
      <c r="H64" s="23"/>
    </row>
    <row r="65" spans="1:7" s="20" customFormat="1">
      <c r="A65" s="64" t="str">
        <f>IF(SUM(B65:B66)=1,"Ek Ehe-/Lebenspartner &lt; 6000,-/Jahr","Alleinverdiener, -erzieherabsetzbetrag")</f>
        <v>Alleinverdiener, -erzieherabsetzbetrag</v>
      </c>
      <c r="B65" s="88">
        <f>IF(ISBLANK(F65),0,1)</f>
        <v>0</v>
      </c>
      <c r="C65" s="89"/>
      <c r="E65" s="87">
        <f>F65/C55</f>
        <v>0</v>
      </c>
      <c r="F65" s="90"/>
      <c r="G65" s="103"/>
    </row>
    <row r="66" spans="1:7" s="20" customFormat="1">
      <c r="A66" s="19" t="s">
        <v>52</v>
      </c>
      <c r="B66" s="88">
        <f>IF(F66=130,1,IF(F66=305,2,IF(F66=525,3,IF(F66=745,4,IF(F66=965,5,IF(F66=1185,6,IF(F66=1405,7,0)))))))</f>
        <v>0</v>
      </c>
      <c r="C66" s="21"/>
      <c r="D66" s="19"/>
      <c r="E66" s="87">
        <f>F66/C55</f>
        <v>0</v>
      </c>
      <c r="F66" s="90"/>
      <c r="G66" s="103"/>
    </row>
    <row r="67" spans="1:7" s="20" customFormat="1" hidden="1">
      <c r="A67" s="79" t="s">
        <v>53</v>
      </c>
      <c r="B67" s="79"/>
      <c r="C67" s="80"/>
      <c r="D67" s="79"/>
      <c r="E67" s="91"/>
      <c r="F67" s="80">
        <f>ROUND(IF(F66=0,IF(SUM(F55:F65)&gt;0,0,SUM(F55:F66)),SUM(F55:F66)),2)</f>
        <v>-2811.9</v>
      </c>
      <c r="G67" s="103"/>
    </row>
    <row r="68" spans="1:7" s="20" customFormat="1">
      <c r="A68" s="25" t="s">
        <v>54</v>
      </c>
      <c r="B68" s="92">
        <f>IF(F68&gt;0,1,0)</f>
        <v>0</v>
      </c>
      <c r="C68" s="74"/>
      <c r="E68" s="87">
        <f>F68/C55</f>
        <v>0</v>
      </c>
      <c r="F68" s="90"/>
      <c r="G68" s="103"/>
    </row>
    <row r="69" spans="1:7" s="20" customFormat="1">
      <c r="A69" s="93" t="str">
        <f>IF(F69&lt;=0,"Einkommensteuer (ESt) des Jahres","ESt-Gutschrift aus Negativsteuer")</f>
        <v>Einkommensteuer (ESt) des Jahres</v>
      </c>
      <c r="B69" s="93"/>
      <c r="C69" s="80">
        <f>F69</f>
        <v>-2811</v>
      </c>
      <c r="D69" s="51">
        <f>ROUND(C69/C37,3)</f>
        <v>-0.10100000000000001</v>
      </c>
      <c r="E69" s="91">
        <f>SUM(E55:E68)</f>
        <v>-0.13368355995055625</v>
      </c>
      <c r="F69" s="80">
        <f>ROUNDDOWN(IF(F67&gt;0,F67,IF(SUM(F67:F68)&gt;0,0,SUM(F67:F68))),0)</f>
        <v>-2811</v>
      </c>
      <c r="G69" s="74" t="str">
        <f>IF(G49="inkl. MKZ für",IF(B66&gt;2,IF(ISBLANK(G51),ROUND(G50*20,2),ROUND(G51*20,2)),""),"")</f>
        <v/>
      </c>
    </row>
    <row r="70" spans="1:7" s="20" customFormat="1" ht="13.5" customHeight="1" thickBot="1">
      <c r="A70" s="94" t="s">
        <v>103</v>
      </c>
      <c r="B70" s="95"/>
      <c r="C70" s="96">
        <f>SUM(C55,C69)</f>
        <v>18223</v>
      </c>
      <c r="D70" s="122">
        <f>ROUND(C70/C37,3)</f>
        <v>0.65500000000000003</v>
      </c>
      <c r="E70" s="323" t="str">
        <f>IF(C55&lt;=11000,"",CONCATENATE(" (Grenzsteuersatz .. ",SUM(G58:G63)*-100," %)"))</f>
        <v xml:space="preserve"> (Grenzsteuersatz .. 35 %)</v>
      </c>
      <c r="F70" s="323"/>
    </row>
    <row r="71" spans="1:7" s="20" customFormat="1" ht="29.25" customHeight="1" thickTop="1">
      <c r="A71" s="26"/>
      <c r="B71" s="26"/>
      <c r="C71" s="27"/>
      <c r="D71" s="27"/>
      <c r="E71" s="27"/>
      <c r="F71" s="39"/>
    </row>
    <row r="72" spans="1:7" ht="12">
      <c r="A72" s="1" t="s">
        <v>63</v>
      </c>
      <c r="B72" s="2" t="s">
        <v>0</v>
      </c>
      <c r="C72" s="2" t="s">
        <v>1</v>
      </c>
      <c r="D72" s="34" t="s">
        <v>4</v>
      </c>
      <c r="E72" s="35"/>
      <c r="F72" s="104" t="s">
        <v>58</v>
      </c>
    </row>
    <row r="73" spans="1:7">
      <c r="A73" s="4" t="s">
        <v>5</v>
      </c>
      <c r="B73" s="53">
        <f>ROUND(B11,2)</f>
        <v>3000</v>
      </c>
      <c r="C73" s="18">
        <f>B73*12</f>
        <v>36000</v>
      </c>
      <c r="D73" s="57">
        <v>1</v>
      </c>
    </row>
    <row r="74" spans="1:7">
      <c r="A74" s="4" t="s">
        <v>92</v>
      </c>
      <c r="B74" s="54">
        <f>ROUND(SUM(B14:B16,B18:B23,B25:B30,B32:B33),2)</f>
        <v>0</v>
      </c>
      <c r="C74" s="18">
        <f>B74*12</f>
        <v>0</v>
      </c>
      <c r="D74" s="57">
        <f>ROUND(B74/B73,3)</f>
        <v>0</v>
      </c>
    </row>
    <row r="75" spans="1:7">
      <c r="A75" s="16" t="s">
        <v>7</v>
      </c>
      <c r="B75" s="53">
        <f>ROUND(B47,2)</f>
        <v>-940.57</v>
      </c>
      <c r="C75" s="18">
        <f>B75*12</f>
        <v>-11286.84</v>
      </c>
      <c r="D75" s="57">
        <f>ROUND(B75/B73,3)</f>
        <v>-0.314</v>
      </c>
      <c r="E75" s="123" t="str">
        <f>CONCATENATE(" (davon  ",ROUND(SUM(C40,C75),2)," Nachforderung)")</f>
        <v xml:space="preserve"> (davon  -3126,84 Nachforderung)</v>
      </c>
    </row>
    <row r="76" spans="1:7">
      <c r="A76" s="4" t="s">
        <v>102</v>
      </c>
      <c r="B76" s="53">
        <f>ROUND(C69/12,2)</f>
        <v>-234.25</v>
      </c>
      <c r="C76" s="18">
        <f>B76*12</f>
        <v>-2811</v>
      </c>
      <c r="D76" s="57">
        <f>ROUND(B76/B73,3)</f>
        <v>-7.8E-2</v>
      </c>
    </row>
    <row r="77" spans="1:7" ht="12" thickBot="1">
      <c r="A77" s="8" t="s">
        <v>55</v>
      </c>
      <c r="B77" s="55">
        <f>ROUND(SUM(B73:B76),2)</f>
        <v>1825.18</v>
      </c>
      <c r="C77" s="28">
        <f>B77*12</f>
        <v>21902.16</v>
      </c>
      <c r="D77" s="58">
        <f>ROUND(B77/B73,4)</f>
        <v>0.60840000000000005</v>
      </c>
      <c r="E77" s="38"/>
      <c r="F77" s="37"/>
    </row>
    <row r="78" spans="1:7" ht="12.6" thickTop="1" thickBot="1">
      <c r="A78" s="29" t="s">
        <v>56</v>
      </c>
      <c r="B78" s="56">
        <f>ROUND(B77*12/14,2)</f>
        <v>1564.44</v>
      </c>
      <c r="C78" s="97"/>
      <c r="D78" s="98"/>
      <c r="E78" s="99"/>
      <c r="F78" s="99"/>
    </row>
    <row r="79" spans="1:7" s="20" customFormat="1" ht="25.5" customHeight="1" thickTop="1">
      <c r="A79" s="26"/>
      <c r="B79" s="26"/>
      <c r="C79" s="27"/>
      <c r="D79" s="27"/>
      <c r="E79" s="27"/>
      <c r="F79" s="39"/>
    </row>
    <row r="80" spans="1:7" ht="13.2">
      <c r="A80" s="108" t="s">
        <v>64</v>
      </c>
      <c r="B80" s="2" t="s">
        <v>0</v>
      </c>
      <c r="C80" s="2" t="s">
        <v>1</v>
      </c>
      <c r="D80" s="34"/>
      <c r="E80" s="35"/>
      <c r="F80" s="104" t="s">
        <v>58</v>
      </c>
    </row>
    <row r="81" spans="1:6" ht="13.5" customHeight="1">
      <c r="A81" s="20" t="s">
        <v>59</v>
      </c>
      <c r="B81" s="105">
        <f>C81/12</f>
        <v>2059.4333333333334</v>
      </c>
      <c r="C81" s="105">
        <f>C11+C34+C47-C17-C31-C33</f>
        <v>24713.200000000001</v>
      </c>
    </row>
    <row r="82" spans="1:6">
      <c r="A82" s="20" t="s">
        <v>60</v>
      </c>
      <c r="B82" s="105">
        <f>C82/12</f>
        <v>0</v>
      </c>
      <c r="C82" s="105">
        <f>C33</f>
        <v>0</v>
      </c>
    </row>
    <row r="83" spans="1:6">
      <c r="A83" s="93" t="s">
        <v>61</v>
      </c>
      <c r="B83" s="80">
        <f>SUM(B81:B82)</f>
        <v>2059.4333333333334</v>
      </c>
      <c r="C83" s="80">
        <f>SUM(C81:C82)</f>
        <v>24713.200000000001</v>
      </c>
    </row>
    <row r="84" spans="1:6">
      <c r="A84" s="20" t="s">
        <v>62</v>
      </c>
      <c r="B84" s="105">
        <f>C84/12</f>
        <v>0</v>
      </c>
      <c r="C84" s="105">
        <f>C17</f>
        <v>0</v>
      </c>
    </row>
    <row r="85" spans="1:6" ht="12" thickBot="1">
      <c r="A85" s="106" t="str">
        <f>IF(C85&lt;0,"   V e r l u s t","   G e w i n n   ( Überschuß)")</f>
        <v xml:space="preserve">   G e w i n n   ( Überschuß)</v>
      </c>
      <c r="B85" s="107">
        <f>ROUND(SUM(B83:B84),2)</f>
        <v>2059.4299999999998</v>
      </c>
      <c r="C85" s="107">
        <f>ROUND(SUM(C83:C84),2)</f>
        <v>24713.200000000001</v>
      </c>
      <c r="D85" s="109"/>
      <c r="E85" s="37"/>
      <c r="F85" s="37"/>
    </row>
    <row r="86" spans="1:6" s="20" customFormat="1" ht="25.5" customHeight="1" thickTop="1">
      <c r="A86" s="26"/>
      <c r="B86" s="26"/>
      <c r="C86" s="27"/>
      <c r="D86" s="27"/>
      <c r="E86" s="27"/>
      <c r="F86" s="39"/>
    </row>
    <row r="87" spans="1:6" ht="13.2">
      <c r="A87" s="108" t="s">
        <v>65</v>
      </c>
      <c r="B87" s="2" t="s">
        <v>0</v>
      </c>
      <c r="C87" s="2" t="s">
        <v>1</v>
      </c>
      <c r="D87" s="34"/>
      <c r="E87" s="35"/>
      <c r="F87" s="104" t="s">
        <v>58</v>
      </c>
    </row>
    <row r="88" spans="1:6" ht="12.75" customHeight="1">
      <c r="A88" s="4" t="s">
        <v>66</v>
      </c>
      <c r="C88" s="113"/>
    </row>
    <row r="89" spans="1:6">
      <c r="A89" s="110" t="s">
        <v>67</v>
      </c>
      <c r="B89" s="111"/>
      <c r="C89" s="46"/>
    </row>
    <row r="90" spans="1:6" ht="14.25" customHeight="1">
      <c r="A90" s="4" t="s">
        <v>68</v>
      </c>
      <c r="C90" s="18">
        <f>SUM(C88:C89)</f>
        <v>0</v>
      </c>
    </row>
    <row r="91" spans="1:6">
      <c r="A91" s="110" t="s">
        <v>69</v>
      </c>
      <c r="B91" s="111"/>
      <c r="C91" s="46"/>
      <c r="D91" s="114"/>
      <c r="E91" s="112">
        <f>SUM(C90:C91)</f>
        <v>0</v>
      </c>
    </row>
    <row r="92" spans="1:6" ht="17.25" customHeight="1">
      <c r="A92" s="4" t="s">
        <v>70</v>
      </c>
      <c r="B92" s="18">
        <f>C92/12</f>
        <v>1825.18</v>
      </c>
      <c r="C92" s="18">
        <f>C77</f>
        <v>21902.16</v>
      </c>
    </row>
    <row r="93" spans="1:6">
      <c r="A93" s="110" t="s">
        <v>71</v>
      </c>
      <c r="B93" s="46"/>
      <c r="C93" s="112">
        <f>B93*12</f>
        <v>0</v>
      </c>
      <c r="D93" s="114"/>
      <c r="E93" s="112">
        <f>SUM(C92:C93)</f>
        <v>21902.16</v>
      </c>
    </row>
    <row r="94" spans="1:6" ht="13.5" customHeight="1">
      <c r="A94" s="4" t="s">
        <v>72</v>
      </c>
      <c r="B94" s="18">
        <f>C94/12</f>
        <v>0</v>
      </c>
      <c r="C94" s="113"/>
      <c r="E94" s="18">
        <f>C94</f>
        <v>0</v>
      </c>
    </row>
    <row r="95" spans="1:6" ht="15" customHeight="1" thickBot="1">
      <c r="A95" s="106" t="str">
        <f>IF(C95&lt;0,"   U n t e r d e c k u n g   gesamt","   Ü b e r d e c k u n g   gesamt")</f>
        <v xml:space="preserve">   Ü b e r d e c k u n g   gesamt</v>
      </c>
      <c r="B95" s="9"/>
      <c r="C95" s="28">
        <f>SUM(C90:C94)</f>
        <v>21902.16</v>
      </c>
      <c r="D95" s="109"/>
      <c r="E95" s="28">
        <f>SUM(E91:E94)</f>
        <v>21902.16</v>
      </c>
      <c r="F95" s="37"/>
    </row>
    <row r="96" spans="1:6" s="20" customFormat="1" ht="25.5" customHeight="1" thickTop="1">
      <c r="A96" s="26"/>
      <c r="B96" s="26"/>
      <c r="C96" s="27"/>
      <c r="D96" s="27"/>
      <c r="E96" s="27"/>
      <c r="F96" s="39"/>
    </row>
    <row r="97" spans="1:9">
      <c r="C97" s="5"/>
    </row>
    <row r="98" spans="1:9">
      <c r="C98" s="5"/>
    </row>
    <row r="99" spans="1:9">
      <c r="C99" s="5"/>
    </row>
    <row r="100" spans="1:9">
      <c r="C100" s="5"/>
    </row>
    <row r="101" spans="1:9">
      <c r="C101" s="5"/>
    </row>
    <row r="102" spans="1:9">
      <c r="C102" s="5"/>
    </row>
    <row r="103" spans="1:9">
      <c r="C103" s="5"/>
    </row>
    <row r="104" spans="1:9">
      <c r="C104" s="5"/>
    </row>
    <row r="105" spans="1:9">
      <c r="C105" s="5"/>
    </row>
    <row r="106" spans="1:9" s="7" customFormat="1">
      <c r="A106" s="4"/>
      <c r="B106" s="5"/>
      <c r="C106" s="5"/>
      <c r="E106" s="3"/>
      <c r="F106" s="3"/>
      <c r="G106" s="3"/>
      <c r="H106" s="3"/>
      <c r="I106" s="3"/>
    </row>
    <row r="107" spans="1:9" s="7" customFormat="1">
      <c r="A107" s="4"/>
      <c r="B107" s="5"/>
      <c r="C107" s="5"/>
      <c r="E107" s="3"/>
      <c r="F107" s="3"/>
      <c r="G107" s="3"/>
      <c r="H107" s="3"/>
      <c r="I107" s="3"/>
    </row>
    <row r="108" spans="1:9" s="7" customFormat="1">
      <c r="A108" s="4"/>
      <c r="B108" s="5"/>
      <c r="C108" s="5"/>
      <c r="E108" s="3"/>
      <c r="F108" s="3"/>
      <c r="G108" s="3"/>
      <c r="H108" s="3"/>
      <c r="I108" s="3"/>
    </row>
    <row r="109" spans="1:9" s="7" customFormat="1">
      <c r="A109" s="4"/>
      <c r="B109" s="5"/>
      <c r="C109" s="5"/>
      <c r="E109" s="3"/>
      <c r="F109" s="3"/>
      <c r="G109" s="3"/>
      <c r="H109" s="3"/>
      <c r="I109" s="3"/>
    </row>
    <row r="110" spans="1:9" s="7" customFormat="1">
      <c r="A110" s="4"/>
      <c r="B110" s="5"/>
      <c r="C110" s="5"/>
      <c r="E110" s="3"/>
      <c r="F110" s="3"/>
      <c r="G110" s="3"/>
      <c r="H110" s="3"/>
      <c r="I110" s="3"/>
    </row>
    <row r="111" spans="1:9" s="7" customFormat="1">
      <c r="A111" s="4"/>
      <c r="B111" s="5"/>
      <c r="C111" s="5"/>
      <c r="E111" s="3"/>
      <c r="F111" s="3"/>
      <c r="G111" s="3"/>
      <c r="H111" s="3"/>
      <c r="I111" s="3"/>
    </row>
    <row r="112" spans="1:9" s="7" customFormat="1">
      <c r="A112" s="4"/>
      <c r="B112" s="5"/>
      <c r="C112" s="5"/>
      <c r="E112" s="3"/>
      <c r="F112" s="3"/>
      <c r="G112" s="3"/>
      <c r="H112" s="3"/>
      <c r="I112" s="3"/>
    </row>
    <row r="113" spans="1:9" s="7" customFormat="1">
      <c r="A113" s="4"/>
      <c r="B113" s="5"/>
      <c r="C113" s="5"/>
      <c r="E113" s="3"/>
      <c r="F113" s="3"/>
      <c r="G113" s="3"/>
      <c r="H113" s="3"/>
      <c r="I113" s="3"/>
    </row>
    <row r="114" spans="1:9" s="7" customFormat="1">
      <c r="A114" s="4"/>
      <c r="B114" s="5"/>
      <c r="C114" s="5"/>
      <c r="E114" s="3"/>
      <c r="F114" s="3"/>
      <c r="G114" s="3"/>
      <c r="H114" s="3"/>
      <c r="I114" s="3"/>
    </row>
    <row r="115" spans="1:9" s="7" customFormat="1">
      <c r="A115" s="4"/>
      <c r="B115" s="5"/>
      <c r="C115" s="5"/>
      <c r="E115" s="3"/>
      <c r="F115" s="3"/>
      <c r="G115" s="3"/>
      <c r="H115" s="3"/>
      <c r="I115" s="3"/>
    </row>
    <row r="116" spans="1:9" s="7" customFormat="1">
      <c r="A116" s="4"/>
      <c r="B116" s="5"/>
      <c r="C116" s="5"/>
      <c r="E116" s="3"/>
      <c r="F116" s="3"/>
      <c r="G116" s="3"/>
      <c r="H116" s="3"/>
      <c r="I116" s="3"/>
    </row>
    <row r="117" spans="1:9" s="7" customFormat="1">
      <c r="A117" s="4"/>
      <c r="B117" s="5"/>
      <c r="C117" s="5"/>
      <c r="E117" s="3"/>
      <c r="F117" s="3"/>
      <c r="G117" s="3"/>
      <c r="H117" s="3"/>
      <c r="I117" s="3"/>
    </row>
  </sheetData>
  <sheetProtection password="C837" sheet="1" objects="1" scenarios="1" autoFilter="0"/>
  <mergeCells count="4">
    <mergeCell ref="A1:D1"/>
    <mergeCell ref="E1:F1"/>
    <mergeCell ref="D42:F42"/>
    <mergeCell ref="E70:F70"/>
  </mergeCells>
  <conditionalFormatting sqref="F65">
    <cfRule type="expression" dxfId="147" priority="2" stopIfTrue="1">
      <formula>AND(F65=0,F66&gt;0)</formula>
    </cfRule>
  </conditionalFormatting>
  <conditionalFormatting sqref="B65">
    <cfRule type="expression" dxfId="146" priority="3" stopIfTrue="1">
      <formula>AND(F65=0,F66&gt;0)</formula>
    </cfRule>
  </conditionalFormatting>
  <conditionalFormatting sqref="B66">
    <cfRule type="expression" dxfId="145" priority="4" stopIfTrue="1">
      <formula>AND(F65=0,F66&gt;0)</formula>
    </cfRule>
  </conditionalFormatting>
  <conditionalFormatting sqref="G49">
    <cfRule type="expression" dxfId="144" priority="5" stopIfTrue="1">
      <formula>AND(B66&gt;2)</formula>
    </cfRule>
  </conditionalFormatting>
  <conditionalFormatting sqref="G52:G56 G64:G68">
    <cfRule type="expression" dxfId="143" priority="6" stopIfTrue="1">
      <formula>AND(B$66&gt;2)</formula>
    </cfRule>
  </conditionalFormatting>
  <conditionalFormatting sqref="G69">
    <cfRule type="expression" dxfId="142" priority="7" stopIfTrue="1">
      <formula>AND(B66&gt;2)</formula>
    </cfRule>
  </conditionalFormatting>
  <conditionalFormatting sqref="G48">
    <cfRule type="expression" dxfId="141" priority="8" stopIfTrue="1">
      <formula>AND(B66&gt;2)</formula>
    </cfRule>
  </conditionalFormatting>
  <conditionalFormatting sqref="G51">
    <cfRule type="expression" dxfId="140" priority="9" stopIfTrue="1">
      <formula>AND(B66&gt;2)</formula>
    </cfRule>
  </conditionalFormatting>
  <conditionalFormatting sqref="G50">
    <cfRule type="expression" dxfId="139" priority="10" stopIfTrue="1">
      <formula>AND(B66&gt;2)</formula>
    </cfRule>
  </conditionalFormatting>
  <conditionalFormatting sqref="E75">
    <cfRule type="expression" dxfId="138" priority="11" stopIfTrue="1">
      <formula>SUM(C40,C75)&lt;0</formula>
    </cfRule>
  </conditionalFormatting>
  <conditionalFormatting sqref="D38">
    <cfRule type="cellIs" dxfId="137" priority="12" stopIfTrue="1" operator="notBetween">
      <formula>0</formula>
      <formula>-0.13</formula>
    </cfRule>
  </conditionalFormatting>
  <conditionalFormatting sqref="F66">
    <cfRule type="expression" dxfId="136" priority="13" stopIfTrue="1">
      <formula>AND(F65=0,F66&gt;0)</formula>
    </cfRule>
    <cfRule type="expression" dxfId="135" priority="14" stopIfTrue="1">
      <formula>AND(F65&gt;0,F66=0)</formula>
    </cfRule>
  </conditionalFormatting>
  <conditionalFormatting sqref="G57:G63">
    <cfRule type="expression" dxfId="134" priority="1" stopIfTrue="1">
      <formula>AND(B$66&gt;2)</formula>
    </cfRule>
  </conditionalFormatting>
  <dataValidations count="20"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allowBlank="1" showInputMessage="1" showErrorMessage="1" errorTitle="RVO zu Unterhaltsabsetzbetrag:" error="Eingabe derzeit auf 0 bis 2.000,- beschränkt!" sqref="F68">
      <formula1>0</formula1>
      <formula2>2000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KiFB:" error="Die Eingabe erlaubt einen negativen Wert von -2200,- bis 0!" sqref="C51">
      <formula1>-3080</formula1>
      <formula2>0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: Fehler zu Einnahme!" error="Werte zwischen Null und 999.999,- erlaubt!" sqref="C91 B3:B10">
      <formula1>0</formula1>
      <formula2>999999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Ausgabe!" error="Nur negative Werte zwischen Null und &quot;Minus&quot;  -999.999,- erlaubt!" sqref="C88:C89 B93 B14:B33">
      <formula1>-999999</formula1>
      <formula2>0</formula2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list" allowBlank="1" showInputMessage="1" showErrorMessage="1" errorTitle="RVO zu Kinderzuschlag:" error="Eingabe lt. Liste. Die Werte steigen nach Anzahl der Kinder!" sqref="F66">
      <formula1>"0,130,305,525,745,965,1185,1405"</formula1>
    </dataValidation>
    <dataValidation type="list" operator="equal" allowBlank="1" showInputMessage="1" showErrorMessage="1" errorTitle="RVO zu Absetzbetrag:" error="Wert Null oder 364 gefordert!" sqref="F65">
      <formula1>"0,364"</formula1>
    </dataValidation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</dataValidations>
  <hyperlinks>
    <hyperlink ref="F36" r:id="rId1" display="www.rvo.at"/>
    <hyperlink ref="F72" r:id="rId2" display="www.rvo.at"/>
    <hyperlink ref="F80" r:id="rId3" display="www.rvo.at"/>
    <hyperlink ref="F87" r:id="rId4" display="www.rvo.at"/>
    <hyperlink ref="G43" r:id="rId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&amp;L&amp;8copyright © www.rvo.at</oddFooter>
  </headerFooter>
  <legacyDrawing r:id="rId7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7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88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20.25" customHeight="1" thickTop="1">
      <c r="A35" s="10"/>
      <c r="B35" s="11"/>
      <c r="C35" s="11"/>
      <c r="D35" s="12"/>
      <c r="E35" s="13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30"/>
    </row>
    <row r="40" spans="1:9">
      <c r="A40" s="16" t="s">
        <v>89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-9.33</v>
      </c>
      <c r="C42" s="52">
        <f>ROUND(B42*12,2)</f>
        <v>-111.96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-499.20400000000001</v>
      </c>
      <c r="C43" s="52">
        <f>B43*12</f>
        <v>-5990.4480000000003</v>
      </c>
      <c r="D43" s="69">
        <v>-0.185</v>
      </c>
      <c r="E43" s="44">
        <v>740.88</v>
      </c>
      <c r="F43" s="119">
        <v>5810</v>
      </c>
      <c r="G43" s="127" t="s">
        <v>73</v>
      </c>
    </row>
    <row r="44" spans="1:9" ht="13.2" outlineLevel="1">
      <c r="A44" s="117" t="s">
        <v>79</v>
      </c>
      <c r="B44" s="52">
        <f>IF(B$41&lt;E44,E44*D44,IF(B$41&gt;F44,F44*D44,B$41*D44))</f>
        <v>-206.42760000000001</v>
      </c>
      <c r="C44" s="52">
        <f>B44*12</f>
        <v>-2477.1312000000003</v>
      </c>
      <c r="D44" s="69">
        <v>-7.6499999999999999E-2</v>
      </c>
      <c r="E44" s="44">
        <v>425.7</v>
      </c>
      <c r="F44" s="119">
        <v>5810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-44.4465</v>
      </c>
      <c r="C45" s="52">
        <f>B45*12</f>
        <v>-533.35799999999995</v>
      </c>
      <c r="D45" s="69">
        <v>-1.5299999999999999E-2</v>
      </c>
      <c r="E45" s="44">
        <v>2905</v>
      </c>
      <c r="F45" s="119">
        <v>2905</v>
      </c>
      <c r="G45" s="115"/>
    </row>
    <row r="46" spans="1:9" outlineLevel="1">
      <c r="A46" s="118" t="s">
        <v>98</v>
      </c>
      <c r="B46" s="52">
        <f>IF(B$41&lt;E46,E46*D46,IF(B$41&gt;F46,F46*D46,B$41*D46))</f>
        <v>-174.29999999999998</v>
      </c>
      <c r="C46" s="52">
        <f>B46*12</f>
        <v>-2091.6</v>
      </c>
      <c r="D46" s="69">
        <v>-0.06</v>
      </c>
      <c r="E46" s="44">
        <v>2905</v>
      </c>
      <c r="F46" s="119">
        <v>2905</v>
      </c>
    </row>
    <row r="47" spans="1:9">
      <c r="A47" s="32" t="s">
        <v>7</v>
      </c>
      <c r="B47" s="47">
        <f>ROUND(SUM(B42:B46),2)</f>
        <v>-933.71</v>
      </c>
      <c r="C47" s="47">
        <f>ROUND(SUM(C42:C46),2)</f>
        <v>-11204.5</v>
      </c>
      <c r="D47" s="48">
        <f>ROUND(C47/C37,3)</f>
        <v>-0.40200000000000002</v>
      </c>
      <c r="E47" s="33"/>
      <c r="F47" s="33"/>
    </row>
    <row r="48" spans="1:9" ht="13.5" customHeight="1">
      <c r="A48" s="70" t="s">
        <v>45</v>
      </c>
      <c r="B48" s="50">
        <f>SUM(B41,B47)</f>
        <v>1764.69</v>
      </c>
      <c r="C48" s="50">
        <f>SUM(C37:C40,C47)</f>
        <v>21176.3</v>
      </c>
      <c r="D48" s="51">
        <f>ROUND(C48/C37,3)</f>
        <v>0.76100000000000001</v>
      </c>
      <c r="E48" s="71" t="s">
        <v>46</v>
      </c>
      <c r="F48" s="71" t="s">
        <v>47</v>
      </c>
      <c r="G48" s="72" t="str">
        <f>IF(B66&gt;2,"MKZ","")</f>
        <v/>
      </c>
      <c r="H48" s="15"/>
      <c r="I48" s="15"/>
    </row>
    <row r="49" spans="1:9" ht="13.5" customHeight="1">
      <c r="A49" s="73" t="s">
        <v>48</v>
      </c>
      <c r="B49" s="73"/>
      <c r="C49" s="74">
        <f>IF(ISBLANK(E49),-60,ROUND(MIN(-60,IF(C48&lt;36400,MIN(E49,F49)/-4,((60000-C48)*(MIN(E49,F49)/4-60)/23600+60)*-1)),2))</f>
        <v>-60</v>
      </c>
      <c r="D49" s="3"/>
      <c r="E49" s="75"/>
      <c r="F49" s="76">
        <f>IF(B65=0,2920,IF(B66&lt;3,5840,IF(G49="ohne MKZ",5840,5840)))</f>
        <v>2920</v>
      </c>
      <c r="G49" s="77"/>
      <c r="H49" s="15"/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für",IF(ISBLANK(G51),ROUND((B66-2)*12,0),""),"")</f>
        <v/>
      </c>
      <c r="H50" s="15"/>
      <c r="I50" s="15"/>
    </row>
    <row r="51" spans="1:9">
      <c r="A51" s="19" t="s">
        <v>87</v>
      </c>
      <c r="B51" s="19"/>
      <c r="C51" s="45"/>
      <c r="D51" s="16"/>
      <c r="E51" s="120"/>
      <c r="F51" s="21"/>
      <c r="G51" s="102"/>
      <c r="H51" s="15"/>
      <c r="I51" s="15"/>
    </row>
    <row r="52" spans="1:9" hidden="1">
      <c r="A52" s="79" t="s">
        <v>50</v>
      </c>
      <c r="B52" s="79"/>
      <c r="C52" s="80">
        <f>ROUND(IF(SUM(C48:C51)&lt;0,0,SUM(C48:C51)),2)</f>
        <v>21116.3</v>
      </c>
      <c r="D52" s="81"/>
      <c r="E52" s="82"/>
      <c r="F52" s="83">
        <f>ROUND(IF(C52&gt;36400,0.12,IF(C52&gt;14600,0.1,IF(C52&gt;7300,0.08,0.06)))-SUM(B65/100,B66/100),3)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2111.63</v>
      </c>
      <c r="G53" s="103"/>
      <c r="H53" s="15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101</v>
      </c>
      <c r="B55" s="86">
        <v>1</v>
      </c>
      <c r="C55" s="80">
        <f>ROUND(IF(SUM(C52:C54)&lt;0,0,SUM(C52:C54)),2)</f>
        <v>21116.3</v>
      </c>
      <c r="E55" s="87">
        <f>F55/C55</f>
        <v>-0.13452688207687902</v>
      </c>
      <c r="F55" s="23">
        <f>ROUND(SUM(D57:D63),2)</f>
        <v>-2840.71</v>
      </c>
      <c r="G55" s="103"/>
      <c r="H55" s="23"/>
    </row>
    <row r="56" spans="1:9" s="20" customFormat="1" ht="3.6" customHeight="1">
      <c r="A56" s="70"/>
      <c r="B56" s="86"/>
      <c r="C56" s="74"/>
      <c r="E56" s="87"/>
      <c r="F56" s="23"/>
      <c r="G56" s="103"/>
      <c r="H56" s="23"/>
    </row>
    <row r="57" spans="1:9" s="20" customFormat="1">
      <c r="A57" s="131">
        <v>11000</v>
      </c>
      <c r="B57" s="132">
        <v>0</v>
      </c>
      <c r="C57" s="134">
        <f>IF($C$55&gt;A57,A57,$C$55)</f>
        <v>11000</v>
      </c>
      <c r="D57" s="135">
        <f t="shared" ref="D57:D63" si="4">ROUND(B57*C57,4)</f>
        <v>0</v>
      </c>
      <c r="F57" s="23"/>
      <c r="G57" s="170"/>
      <c r="H57" s="23" t="s">
        <v>123</v>
      </c>
    </row>
    <row r="58" spans="1:9" s="20" customFormat="1">
      <c r="A58" s="131">
        <v>18000</v>
      </c>
      <c r="B58" s="132">
        <v>-0.25</v>
      </c>
      <c r="C58" s="134">
        <f>IF($C$55&gt;A58,A58-A57,$C$55-C57)</f>
        <v>7000</v>
      </c>
      <c r="D58" s="135">
        <f t="shared" si="4"/>
        <v>-1750</v>
      </c>
      <c r="F58" s="23"/>
      <c r="G58" s="170">
        <f>IF(C58&gt;0,B58,"")</f>
        <v>-0.25</v>
      </c>
      <c r="H58" s="23"/>
    </row>
    <row r="59" spans="1:9" s="20" customFormat="1">
      <c r="A59" s="131">
        <v>31000</v>
      </c>
      <c r="B59" s="132">
        <v>-0.35</v>
      </c>
      <c r="C59" s="134">
        <f>IF($C$55&gt;A59,A59-A58,$C$55-SUM($C$57:C58))</f>
        <v>3116.2999999999993</v>
      </c>
      <c r="D59" s="135">
        <f t="shared" si="4"/>
        <v>-1090.7049999999999</v>
      </c>
      <c r="F59" s="23"/>
      <c r="G59" s="170">
        <f>IF(C59&gt;0,B59-B58,"")</f>
        <v>-9.9999999999999978E-2</v>
      </c>
      <c r="H59" s="23"/>
    </row>
    <row r="60" spans="1:9" s="20" customFormat="1">
      <c r="A60" s="131">
        <v>60000</v>
      </c>
      <c r="B60" s="132">
        <v>-0.42</v>
      </c>
      <c r="C60" s="134">
        <f>IF($C$55&gt;A60,A60-A59,$C$55-SUM($C$57:C59))</f>
        <v>0</v>
      </c>
      <c r="D60" s="135">
        <f t="shared" si="4"/>
        <v>0</v>
      </c>
      <c r="F60" s="23"/>
      <c r="G60" s="170" t="str">
        <f t="shared" ref="G60:G63" si="5">IF(C60&gt;0,B60-B59,"")</f>
        <v/>
      </c>
      <c r="H60" s="23"/>
    </row>
    <row r="61" spans="1:9" s="20" customFormat="1">
      <c r="A61" s="131">
        <v>90000</v>
      </c>
      <c r="B61" s="132">
        <v>-0.48</v>
      </c>
      <c r="C61" s="134">
        <f>IF($C$55&gt;A61,A61-A60,$C$55-SUM($C$57:C60))</f>
        <v>0</v>
      </c>
      <c r="D61" s="135">
        <f t="shared" si="4"/>
        <v>0</v>
      </c>
      <c r="F61" s="23"/>
      <c r="G61" s="170" t="str">
        <f t="shared" si="5"/>
        <v/>
      </c>
      <c r="H61" s="23"/>
    </row>
    <row r="62" spans="1:9" s="20" customFormat="1">
      <c r="A62" s="131">
        <v>1000000</v>
      </c>
      <c r="B62" s="132">
        <v>-0.5</v>
      </c>
      <c r="C62" s="134">
        <f>IF($C$55&gt;A62,A62-A61,$C$55-SUM($C$57:C61))</f>
        <v>0</v>
      </c>
      <c r="D62" s="135">
        <f t="shared" si="4"/>
        <v>0</v>
      </c>
      <c r="F62" s="23"/>
      <c r="G62" s="170" t="str">
        <f t="shared" si="5"/>
        <v/>
      </c>
      <c r="H62" s="23"/>
    </row>
    <row r="63" spans="1:9" s="20" customFormat="1">
      <c r="A63" s="133"/>
      <c r="B63" s="132">
        <v>-0.55000000000000004</v>
      </c>
      <c r="C63" s="134">
        <f>$C$55-SUM($C$57:C62)</f>
        <v>0</v>
      </c>
      <c r="D63" s="135">
        <f t="shared" si="4"/>
        <v>0</v>
      </c>
      <c r="F63" s="23"/>
      <c r="G63" s="170" t="str">
        <f t="shared" si="5"/>
        <v/>
      </c>
      <c r="H63" s="23"/>
    </row>
    <row r="64" spans="1:9" s="20" customFormat="1" ht="3" customHeight="1">
      <c r="A64" s="70"/>
      <c r="B64" s="86"/>
      <c r="C64" s="74"/>
      <c r="E64" s="87"/>
      <c r="F64" s="23"/>
      <c r="G64" s="103"/>
      <c r="H64" s="23"/>
    </row>
    <row r="65" spans="1:7" s="20" customFormat="1">
      <c r="A65" s="64" t="str">
        <f>IF(SUM(B65:B66)=1,"Ek Ehe-/Lebenspartner &lt; 6000,-/Jahr","Alleinverdiener, -erzieherabsetzbetrag")</f>
        <v>Alleinverdiener, -erzieherabsetzbetrag</v>
      </c>
      <c r="B65" s="88">
        <f>IF(ISBLANK(F65),0,1)</f>
        <v>0</v>
      </c>
      <c r="C65" s="89"/>
      <c r="E65" s="87">
        <f>F65/C55</f>
        <v>0</v>
      </c>
      <c r="F65" s="90"/>
      <c r="G65" s="103"/>
    </row>
    <row r="66" spans="1:7" s="20" customFormat="1">
      <c r="A66" s="19" t="s">
        <v>52</v>
      </c>
      <c r="B66" s="88">
        <f>IF(F66=130,1,IF(F66=305,2,IF(F66=525,3,IF(F66=745,4,IF(F66=965,5,IF(F66=1185,6,IF(F66=1405,7,0)))))))</f>
        <v>0</v>
      </c>
      <c r="C66" s="21"/>
      <c r="D66" s="19"/>
      <c r="E66" s="87">
        <f>F66/C55</f>
        <v>0</v>
      </c>
      <c r="F66" s="90"/>
      <c r="G66" s="103"/>
    </row>
    <row r="67" spans="1:7" s="20" customFormat="1" hidden="1">
      <c r="A67" s="79" t="s">
        <v>53</v>
      </c>
      <c r="B67" s="79"/>
      <c r="C67" s="80"/>
      <c r="D67" s="79"/>
      <c r="E67" s="91"/>
      <c r="F67" s="80">
        <f>ROUND(IF(F66=0,IF(SUM(F55:F65)&gt;0,0,SUM(F55:F66)),SUM(F55:F66)),2)</f>
        <v>-2840.71</v>
      </c>
      <c r="G67" s="103"/>
    </row>
    <row r="68" spans="1:7" s="20" customFormat="1">
      <c r="A68" s="25" t="s">
        <v>54</v>
      </c>
      <c r="B68" s="92">
        <f>IF(F68&gt;0,1,0)</f>
        <v>0</v>
      </c>
      <c r="C68" s="74"/>
      <c r="E68" s="87">
        <f>F68/C55</f>
        <v>0</v>
      </c>
      <c r="F68" s="90"/>
      <c r="G68" s="103"/>
    </row>
    <row r="69" spans="1:7" s="20" customFormat="1">
      <c r="A69" s="93" t="str">
        <f>IF(F69&lt;=0,"Einkommensteuer (ESt) des Jahres","ESt-Gutschrift aus Negativsteuer")</f>
        <v>Einkommensteuer (ESt) des Jahres</v>
      </c>
      <c r="B69" s="93"/>
      <c r="C69" s="80">
        <f>F69</f>
        <v>-2840</v>
      </c>
      <c r="D69" s="51">
        <f>ROUND(C69/C37,3)</f>
        <v>-0.10199999999999999</v>
      </c>
      <c r="E69" s="91">
        <f>SUM(E55:E68)</f>
        <v>-0.13452688207687902</v>
      </c>
      <c r="F69" s="80">
        <f>ROUNDDOWN(IF(F67&gt;0,F67,IF(SUM(F67:F68)&gt;0,0,SUM(F67:F68))),0)</f>
        <v>-2840</v>
      </c>
      <c r="G69" s="74" t="str">
        <f>IF(G49="inkl. MKZ für",IF(B66&gt;2,IF(ISBLANK(G51),ROUND(G50*20,2),ROUND(G51*20,2)),""),"")</f>
        <v/>
      </c>
    </row>
    <row r="70" spans="1:7" s="20" customFormat="1" ht="13.5" customHeight="1" thickBot="1">
      <c r="A70" s="94" t="s">
        <v>103</v>
      </c>
      <c r="B70" s="95"/>
      <c r="C70" s="96">
        <f>SUM(C55,C69)</f>
        <v>18276.3</v>
      </c>
      <c r="D70" s="122">
        <f>ROUND(C70/C37,3)</f>
        <v>0.65600000000000003</v>
      </c>
      <c r="E70" s="323" t="str">
        <f>IF(C55&lt;=11000,"",CONCATENATE(" (Grenzsteuersatz .. ",SUM(G58:G63)*-100," %)"))</f>
        <v xml:space="preserve"> (Grenzsteuersatz .. 35 %)</v>
      </c>
      <c r="F70" s="323"/>
    </row>
    <row r="71" spans="1:7" s="20" customFormat="1" ht="29.25" customHeight="1" thickTop="1">
      <c r="A71" s="26"/>
      <c r="B71" s="26"/>
      <c r="C71" s="27"/>
      <c r="D71" s="27"/>
      <c r="E71" s="27"/>
      <c r="F71" s="39"/>
    </row>
    <row r="72" spans="1:7" ht="12">
      <c r="A72" s="1" t="s">
        <v>63</v>
      </c>
      <c r="B72" s="2" t="s">
        <v>0</v>
      </c>
      <c r="C72" s="2" t="s">
        <v>1</v>
      </c>
      <c r="D72" s="34" t="s">
        <v>4</v>
      </c>
      <c r="E72" s="35"/>
      <c r="F72" s="104" t="s">
        <v>58</v>
      </c>
    </row>
    <row r="73" spans="1:7">
      <c r="A73" s="4" t="s">
        <v>5</v>
      </c>
      <c r="B73" s="53">
        <f>ROUND(B11,2)</f>
        <v>3000</v>
      </c>
      <c r="C73" s="18">
        <f>B73*12</f>
        <v>36000</v>
      </c>
      <c r="D73" s="57">
        <v>1</v>
      </c>
    </row>
    <row r="74" spans="1:7">
      <c r="A74" s="4" t="s">
        <v>92</v>
      </c>
      <c r="B74" s="54">
        <f>ROUND(SUM(B14:B16,B18:B23,B25:B30,B32:B33),2)</f>
        <v>0</v>
      </c>
      <c r="C74" s="18">
        <f>B74*12</f>
        <v>0</v>
      </c>
      <c r="D74" s="57">
        <f>ROUND(B74/B73,3)</f>
        <v>0</v>
      </c>
    </row>
    <row r="75" spans="1:7">
      <c r="A75" s="16" t="s">
        <v>7</v>
      </c>
      <c r="B75" s="53">
        <f>ROUND(B47,2)</f>
        <v>-933.71</v>
      </c>
      <c r="C75" s="18">
        <f>B75*12</f>
        <v>-11204.52</v>
      </c>
      <c r="D75" s="57">
        <f>ROUND(B75/B73,3)</f>
        <v>-0.311</v>
      </c>
      <c r="E75" s="123" t="str">
        <f>CONCATENATE(" (davon  ",ROUND(SUM(C40,C75),2)," Nachforderung)")</f>
        <v xml:space="preserve"> (davon  -3044,52 Nachforderung)</v>
      </c>
    </row>
    <row r="76" spans="1:7">
      <c r="A76" s="4" t="s">
        <v>102</v>
      </c>
      <c r="B76" s="53">
        <f>ROUND(C69/12,2)</f>
        <v>-236.67</v>
      </c>
      <c r="C76" s="18">
        <f>B76*12</f>
        <v>-2840.04</v>
      </c>
      <c r="D76" s="57">
        <f>ROUND(B76/B73,3)</f>
        <v>-7.9000000000000001E-2</v>
      </c>
    </row>
    <row r="77" spans="1:7" ht="12" thickBot="1">
      <c r="A77" s="8" t="s">
        <v>55</v>
      </c>
      <c r="B77" s="55">
        <f>ROUND(SUM(B73:B76),2)</f>
        <v>1829.62</v>
      </c>
      <c r="C77" s="28">
        <f>B77*12</f>
        <v>21955.439999999999</v>
      </c>
      <c r="D77" s="58">
        <f>ROUND(B77/B73,4)</f>
        <v>0.6099</v>
      </c>
      <c r="E77" s="38"/>
      <c r="F77" s="37"/>
    </row>
    <row r="78" spans="1:7" ht="12.6" thickTop="1" thickBot="1">
      <c r="A78" s="29" t="s">
        <v>56</v>
      </c>
      <c r="B78" s="56">
        <f>ROUND(B77*12/14,2)</f>
        <v>1568.25</v>
      </c>
      <c r="C78" s="97"/>
      <c r="D78" s="98"/>
      <c r="E78" s="99"/>
      <c r="F78" s="99"/>
    </row>
    <row r="79" spans="1:7" s="20" customFormat="1" ht="25.5" customHeight="1" thickTop="1">
      <c r="A79" s="26"/>
      <c r="B79" s="26"/>
      <c r="C79" s="27"/>
      <c r="D79" s="27"/>
      <c r="E79" s="27"/>
      <c r="F79" s="39"/>
    </row>
    <row r="80" spans="1:7" ht="13.2">
      <c r="A80" s="108" t="s">
        <v>64</v>
      </c>
      <c r="B80" s="2" t="s">
        <v>0</v>
      </c>
      <c r="C80" s="2" t="s">
        <v>1</v>
      </c>
      <c r="D80" s="34"/>
      <c r="E80" s="35"/>
      <c r="F80" s="104" t="s">
        <v>58</v>
      </c>
    </row>
    <row r="81" spans="1:6" ht="13.5" customHeight="1">
      <c r="A81" s="20" t="s">
        <v>59</v>
      </c>
      <c r="B81" s="105">
        <f>C81/12</f>
        <v>2066.2916666666665</v>
      </c>
      <c r="C81" s="105">
        <f>C11+C34+C47-C17-C31-C33</f>
        <v>24795.5</v>
      </c>
    </row>
    <row r="82" spans="1:6">
      <c r="A82" s="20" t="s">
        <v>60</v>
      </c>
      <c r="B82" s="105">
        <f>C82/12</f>
        <v>0</v>
      </c>
      <c r="C82" s="105">
        <f>C33</f>
        <v>0</v>
      </c>
    </row>
    <row r="83" spans="1:6">
      <c r="A83" s="93" t="s">
        <v>61</v>
      </c>
      <c r="B83" s="80">
        <f>SUM(B81:B82)</f>
        <v>2066.2916666666665</v>
      </c>
      <c r="C83" s="80">
        <f>SUM(C81:C82)</f>
        <v>24795.5</v>
      </c>
    </row>
    <row r="84" spans="1:6">
      <c r="A84" s="20" t="s">
        <v>62</v>
      </c>
      <c r="B84" s="105">
        <f>C84/12</f>
        <v>0</v>
      </c>
      <c r="C84" s="105">
        <f>C17</f>
        <v>0</v>
      </c>
    </row>
    <row r="85" spans="1:6" ht="12" thickBot="1">
      <c r="A85" s="106" t="str">
        <f>IF(C85&lt;0,"   V e r l u s t","   G e w i n n   ( Überschuß)")</f>
        <v xml:space="preserve">   G e w i n n   ( Überschuß)</v>
      </c>
      <c r="B85" s="107">
        <f>ROUND(SUM(B83:B84),2)</f>
        <v>2066.29</v>
      </c>
      <c r="C85" s="107">
        <f>ROUND(SUM(C83:C84),2)</f>
        <v>24795.5</v>
      </c>
      <c r="D85" s="109"/>
      <c r="E85" s="37"/>
      <c r="F85" s="37"/>
    </row>
    <row r="86" spans="1:6" s="20" customFormat="1" ht="25.5" customHeight="1" thickTop="1">
      <c r="A86" s="26"/>
      <c r="B86" s="26"/>
      <c r="C86" s="27"/>
      <c r="D86" s="27"/>
      <c r="E86" s="27"/>
      <c r="F86" s="39"/>
    </row>
    <row r="87" spans="1:6" ht="13.2">
      <c r="A87" s="108" t="s">
        <v>65</v>
      </c>
      <c r="B87" s="2" t="s">
        <v>0</v>
      </c>
      <c r="C87" s="2" t="s">
        <v>1</v>
      </c>
      <c r="D87" s="34"/>
      <c r="E87" s="35"/>
      <c r="F87" s="104" t="s">
        <v>58</v>
      </c>
    </row>
    <row r="88" spans="1:6" ht="12.75" customHeight="1">
      <c r="A88" s="4" t="s">
        <v>66</v>
      </c>
      <c r="C88" s="113"/>
    </row>
    <row r="89" spans="1:6">
      <c r="A89" s="110" t="s">
        <v>67</v>
      </c>
      <c r="B89" s="111"/>
      <c r="C89" s="46"/>
    </row>
    <row r="90" spans="1:6" ht="14.25" customHeight="1">
      <c r="A90" s="4" t="s">
        <v>68</v>
      </c>
      <c r="C90" s="18">
        <f>SUM(C88:C89)</f>
        <v>0</v>
      </c>
    </row>
    <row r="91" spans="1:6">
      <c r="A91" s="110" t="s">
        <v>69</v>
      </c>
      <c r="B91" s="111"/>
      <c r="C91" s="46"/>
      <c r="D91" s="114"/>
      <c r="E91" s="112">
        <f>SUM(C90:C91)</f>
        <v>0</v>
      </c>
    </row>
    <row r="92" spans="1:6" ht="17.25" customHeight="1">
      <c r="A92" s="4" t="s">
        <v>70</v>
      </c>
      <c r="B92" s="18">
        <f>C92/12</f>
        <v>1829.62</v>
      </c>
      <c r="C92" s="18">
        <f>C77</f>
        <v>21955.439999999999</v>
      </c>
    </row>
    <row r="93" spans="1:6">
      <c r="A93" s="110" t="s">
        <v>71</v>
      </c>
      <c r="B93" s="46"/>
      <c r="C93" s="112">
        <f>B93*12</f>
        <v>0</v>
      </c>
      <c r="D93" s="114"/>
      <c r="E93" s="112">
        <f>SUM(C92:C93)</f>
        <v>21955.439999999999</v>
      </c>
    </row>
    <row r="94" spans="1:6" ht="13.5" customHeight="1">
      <c r="A94" s="4" t="s">
        <v>72</v>
      </c>
      <c r="B94" s="18">
        <f>C94/12</f>
        <v>0</v>
      </c>
      <c r="C94" s="113"/>
      <c r="E94" s="18">
        <f>C94</f>
        <v>0</v>
      </c>
    </row>
    <row r="95" spans="1:6" ht="15" customHeight="1" thickBot="1">
      <c r="A95" s="106" t="str">
        <f>IF(C95&lt;0,"   U n t e r d e c k u n g   gesamt","   Ü b e r d e c k u n g   gesamt")</f>
        <v xml:space="preserve">   Ü b e r d e c k u n g   gesamt</v>
      </c>
      <c r="B95" s="9"/>
      <c r="C95" s="28">
        <f>SUM(C90:C94)</f>
        <v>21955.439999999999</v>
      </c>
      <c r="D95" s="109"/>
      <c r="E95" s="28">
        <f>SUM(E91:E94)</f>
        <v>21955.439999999999</v>
      </c>
      <c r="F95" s="37"/>
    </row>
    <row r="96" spans="1:6" s="20" customFormat="1" ht="25.5" customHeight="1" thickTop="1">
      <c r="A96" s="26"/>
      <c r="B96" s="26"/>
      <c r="C96" s="27"/>
      <c r="D96" s="27"/>
      <c r="E96" s="27"/>
      <c r="F96" s="39"/>
    </row>
    <row r="97" spans="1:9">
      <c r="C97" s="5"/>
    </row>
    <row r="98" spans="1:9">
      <c r="C98" s="5"/>
    </row>
    <row r="99" spans="1:9">
      <c r="C99" s="5"/>
    </row>
    <row r="100" spans="1:9">
      <c r="C100" s="5"/>
    </row>
    <row r="101" spans="1:9">
      <c r="C101" s="5"/>
    </row>
    <row r="102" spans="1:9">
      <c r="C102" s="5"/>
    </row>
    <row r="103" spans="1:9">
      <c r="C103" s="5"/>
    </row>
    <row r="104" spans="1:9">
      <c r="C104" s="5"/>
    </row>
    <row r="105" spans="1:9">
      <c r="C105" s="5"/>
    </row>
    <row r="106" spans="1:9" s="7" customFormat="1">
      <c r="A106" s="4"/>
      <c r="B106" s="5"/>
      <c r="C106" s="5"/>
      <c r="E106" s="3"/>
      <c r="F106" s="3"/>
      <c r="G106" s="3"/>
      <c r="H106" s="3"/>
      <c r="I106" s="3"/>
    </row>
    <row r="107" spans="1:9" s="7" customFormat="1">
      <c r="A107" s="4"/>
      <c r="B107" s="5"/>
      <c r="C107" s="5"/>
      <c r="E107" s="3"/>
      <c r="F107" s="3"/>
      <c r="G107" s="3"/>
      <c r="H107" s="3"/>
      <c r="I107" s="3"/>
    </row>
    <row r="108" spans="1:9" s="7" customFormat="1">
      <c r="A108" s="4"/>
      <c r="B108" s="5"/>
      <c r="C108" s="5"/>
      <c r="E108" s="3"/>
      <c r="F108" s="3"/>
      <c r="G108" s="3"/>
      <c r="H108" s="3"/>
      <c r="I108" s="3"/>
    </row>
    <row r="109" spans="1:9" s="7" customFormat="1">
      <c r="A109" s="4"/>
      <c r="B109" s="5"/>
      <c r="C109" s="5"/>
      <c r="E109" s="3"/>
      <c r="F109" s="3"/>
      <c r="G109" s="3"/>
      <c r="H109" s="3"/>
      <c r="I109" s="3"/>
    </row>
    <row r="110" spans="1:9" s="7" customFormat="1">
      <c r="A110" s="4"/>
      <c r="B110" s="5"/>
      <c r="C110" s="5"/>
      <c r="E110" s="3"/>
      <c r="F110" s="3"/>
      <c r="G110" s="3"/>
      <c r="H110" s="3"/>
      <c r="I110" s="3"/>
    </row>
    <row r="111" spans="1:9" s="7" customFormat="1">
      <c r="A111" s="4"/>
      <c r="B111" s="5"/>
      <c r="C111" s="5"/>
      <c r="E111" s="3"/>
      <c r="F111" s="3"/>
      <c r="G111" s="3"/>
      <c r="H111" s="3"/>
      <c r="I111" s="3"/>
    </row>
    <row r="112" spans="1:9" s="7" customFormat="1">
      <c r="A112" s="4"/>
      <c r="B112" s="5"/>
      <c r="C112" s="5"/>
      <c r="E112" s="3"/>
      <c r="F112" s="3"/>
      <c r="G112" s="3"/>
      <c r="H112" s="3"/>
      <c r="I112" s="3"/>
    </row>
    <row r="113" spans="1:9" s="7" customFormat="1">
      <c r="A113" s="4"/>
      <c r="B113" s="5"/>
      <c r="C113" s="5"/>
      <c r="E113" s="3"/>
      <c r="F113" s="3"/>
      <c r="G113" s="3"/>
      <c r="H113" s="3"/>
      <c r="I113" s="3"/>
    </row>
    <row r="114" spans="1:9" s="7" customFormat="1">
      <c r="A114" s="4"/>
      <c r="B114" s="5"/>
      <c r="C114" s="5"/>
      <c r="E114" s="3"/>
      <c r="F114" s="3"/>
      <c r="G114" s="3"/>
      <c r="H114" s="3"/>
      <c r="I114" s="3"/>
    </row>
    <row r="115" spans="1:9" s="7" customFormat="1">
      <c r="A115" s="4"/>
      <c r="B115" s="5"/>
      <c r="C115" s="5"/>
      <c r="E115" s="3"/>
      <c r="F115" s="3"/>
      <c r="G115" s="3"/>
      <c r="H115" s="3"/>
      <c r="I115" s="3"/>
    </row>
    <row r="116" spans="1:9" s="7" customFormat="1">
      <c r="A116" s="4"/>
      <c r="B116" s="5"/>
      <c r="C116" s="5"/>
      <c r="E116" s="3"/>
      <c r="F116" s="3"/>
      <c r="G116" s="3"/>
      <c r="H116" s="3"/>
      <c r="I116" s="3"/>
    </row>
    <row r="117" spans="1:9" s="7" customFormat="1">
      <c r="A117" s="4"/>
      <c r="B117" s="5"/>
      <c r="C117" s="5"/>
      <c r="E117" s="3"/>
      <c r="F117" s="3"/>
      <c r="G117" s="3"/>
      <c r="H117" s="3"/>
      <c r="I117" s="3"/>
    </row>
  </sheetData>
  <sheetProtection password="C837" sheet="1" objects="1" scenarios="1" autoFilter="0"/>
  <mergeCells count="4">
    <mergeCell ref="A1:D1"/>
    <mergeCell ref="E1:F1"/>
    <mergeCell ref="D42:F42"/>
    <mergeCell ref="E70:F70"/>
  </mergeCells>
  <conditionalFormatting sqref="F65">
    <cfRule type="expression" dxfId="133" priority="2" stopIfTrue="1">
      <formula>AND(F65=0,F66&gt;0)</formula>
    </cfRule>
  </conditionalFormatting>
  <conditionalFormatting sqref="B65">
    <cfRule type="expression" dxfId="132" priority="3" stopIfTrue="1">
      <formula>AND(F65=0,F66&gt;0)</formula>
    </cfRule>
  </conditionalFormatting>
  <conditionalFormatting sqref="B66">
    <cfRule type="expression" dxfId="131" priority="4" stopIfTrue="1">
      <formula>AND(F65=0,F66&gt;0)</formula>
    </cfRule>
  </conditionalFormatting>
  <conditionalFormatting sqref="G49">
    <cfRule type="expression" dxfId="130" priority="5" stopIfTrue="1">
      <formula>AND(B66&gt;2)</formula>
    </cfRule>
  </conditionalFormatting>
  <conditionalFormatting sqref="G52:G56 G64:G68">
    <cfRule type="expression" dxfId="129" priority="6" stopIfTrue="1">
      <formula>AND(B$66&gt;2)</formula>
    </cfRule>
  </conditionalFormatting>
  <conditionalFormatting sqref="G69">
    <cfRule type="expression" dxfId="128" priority="7" stopIfTrue="1">
      <formula>AND(B66&gt;2)</formula>
    </cfRule>
  </conditionalFormatting>
  <conditionalFormatting sqref="G48">
    <cfRule type="expression" dxfId="127" priority="8" stopIfTrue="1">
      <formula>AND(B66&gt;2)</formula>
    </cfRule>
  </conditionalFormatting>
  <conditionalFormatting sqref="G51">
    <cfRule type="expression" dxfId="126" priority="9" stopIfTrue="1">
      <formula>AND(B66&gt;2)</formula>
    </cfRule>
  </conditionalFormatting>
  <conditionalFormatting sqref="G50">
    <cfRule type="expression" dxfId="125" priority="10" stopIfTrue="1">
      <formula>AND(B66&gt;2)</formula>
    </cfRule>
  </conditionalFormatting>
  <conditionalFormatting sqref="E75">
    <cfRule type="expression" dxfId="124" priority="11" stopIfTrue="1">
      <formula>SUM(C40,C75)&lt;0</formula>
    </cfRule>
  </conditionalFormatting>
  <conditionalFormatting sqref="D38">
    <cfRule type="cellIs" dxfId="123" priority="12" stopIfTrue="1" operator="notBetween">
      <formula>0</formula>
      <formula>-0.13</formula>
    </cfRule>
  </conditionalFormatting>
  <conditionalFormatting sqref="F66">
    <cfRule type="expression" dxfId="122" priority="13" stopIfTrue="1">
      <formula>AND(F65=0,F66&gt;0)</formula>
    </cfRule>
    <cfRule type="expression" dxfId="121" priority="14" stopIfTrue="1">
      <formula>AND(F65&gt;0,F66=0)</formula>
    </cfRule>
  </conditionalFormatting>
  <conditionalFormatting sqref="G57:G63">
    <cfRule type="expression" dxfId="120" priority="1" stopIfTrue="1">
      <formula>AND(B$66&gt;2)</formula>
    </cfRule>
  </conditionalFormatting>
  <dataValidations count="20"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  <dataValidation type="list" operator="equal" allowBlank="1" showInputMessage="1" showErrorMessage="1" errorTitle="RVO zu Absetzbetrag:" error="Wert Null oder 364 gefordert!" sqref="F65">
      <formula1>"0,364"</formula1>
    </dataValidation>
    <dataValidation type="list" allowBlank="1" showInputMessage="1" showErrorMessage="1" errorTitle="RVO zu Kinderzuschlag:" error="Eingabe lt. Liste. Die Werte steigen nach Anzahl der Kinder!" sqref="F66">
      <formula1>"0,130,305,525,745,965,1185,1405"</formula1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C88:C89 B93 B14:B33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Einnahme!" error="Werte zwischen Null und 999.999,- erlaubt!" sqref="C91 B3:B1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51">
      <formula1>-3080</formula1>
      <formula2>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68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</dataValidations>
  <hyperlinks>
    <hyperlink ref="F36" r:id="rId1" display="www.rvo.at"/>
    <hyperlink ref="F72" r:id="rId2" display="www.rvo.at"/>
    <hyperlink ref="F80" r:id="rId3" display="www.rvo.at"/>
    <hyperlink ref="F87" r:id="rId4" display="www.rvo.at"/>
    <hyperlink ref="G43" r:id="rId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&amp;L&amp;8copyright © www.rvo.at</oddFooter>
  </headerFooter>
  <legacyDrawing r:id="rId7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17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88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20.25" customHeight="1" thickTop="1">
      <c r="A35" s="10"/>
      <c r="B35" s="11"/>
      <c r="C35" s="11"/>
      <c r="D35" s="12"/>
      <c r="E35" s="13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30"/>
    </row>
    <row r="40" spans="1:9">
      <c r="A40" s="16" t="s">
        <v>89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-9.11</v>
      </c>
      <c r="C42" s="52">
        <f>ROUND(B42*12,2)</f>
        <v>-109.32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-499.20400000000001</v>
      </c>
      <c r="C43" s="52">
        <f>B43*12</f>
        <v>-5990.4480000000003</v>
      </c>
      <c r="D43" s="69">
        <v>-0.185</v>
      </c>
      <c r="E43" s="44">
        <v>723.52</v>
      </c>
      <c r="F43" s="119">
        <v>5670</v>
      </c>
      <c r="G43" s="127" t="s">
        <v>73</v>
      </c>
    </row>
    <row r="44" spans="1:9" ht="13.2" outlineLevel="1">
      <c r="A44" s="117" t="s">
        <v>79</v>
      </c>
      <c r="B44" s="52">
        <f>IF(B$41&lt;E44,E44*D44,IF(B$41&gt;F44,F44*D44,B$41*D44))</f>
        <v>-206.42760000000001</v>
      </c>
      <c r="C44" s="52">
        <f>B44*12</f>
        <v>-2477.1312000000003</v>
      </c>
      <c r="D44" s="69">
        <v>-7.6499999999999999E-2</v>
      </c>
      <c r="E44" s="44">
        <v>415.72</v>
      </c>
      <c r="F44" s="119">
        <v>5670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-43.375499999999995</v>
      </c>
      <c r="C45" s="52">
        <f>B45*12</f>
        <v>-520.50599999999997</v>
      </c>
      <c r="D45" s="69">
        <v>-1.5299999999999999E-2</v>
      </c>
      <c r="E45" s="44">
        <v>2835</v>
      </c>
      <c r="F45" s="119">
        <v>2835</v>
      </c>
      <c r="G45" s="115"/>
    </row>
    <row r="46" spans="1:9" outlineLevel="1">
      <c r="A46" s="118" t="s">
        <v>98</v>
      </c>
      <c r="B46" s="52">
        <f>IF(B$41&lt;E46,E46*D46,IF(B$41&gt;F46,F46*D46,B$41*D46))</f>
        <v>-170.1</v>
      </c>
      <c r="C46" s="52">
        <f>B46*12</f>
        <v>-2041.1999999999998</v>
      </c>
      <c r="D46" s="69">
        <v>-0.06</v>
      </c>
      <c r="E46" s="44">
        <v>2835</v>
      </c>
      <c r="F46" s="119">
        <v>2835</v>
      </c>
    </row>
    <row r="47" spans="1:9">
      <c r="A47" s="32" t="s">
        <v>7</v>
      </c>
      <c r="B47" s="47">
        <f>ROUND(SUM(B42:B46),2)</f>
        <v>-928.22</v>
      </c>
      <c r="C47" s="47">
        <f>ROUND(SUM(C42:C46),2)</f>
        <v>-11138.61</v>
      </c>
      <c r="D47" s="48">
        <f>ROUND(C47/C37,3)</f>
        <v>-0.4</v>
      </c>
      <c r="E47" s="33"/>
      <c r="F47" s="33"/>
    </row>
    <row r="48" spans="1:9" ht="13.5" customHeight="1">
      <c r="A48" s="70" t="s">
        <v>45</v>
      </c>
      <c r="B48" s="50">
        <f>SUM(B41,B47)</f>
        <v>1770.18</v>
      </c>
      <c r="C48" s="50">
        <f>SUM(C37:C40,C47)</f>
        <v>21242.19</v>
      </c>
      <c r="D48" s="51">
        <f>ROUND(C48/C37,3)</f>
        <v>0.76300000000000001</v>
      </c>
      <c r="E48" s="71" t="s">
        <v>46</v>
      </c>
      <c r="F48" s="71" t="s">
        <v>47</v>
      </c>
      <c r="G48" s="72" t="str">
        <f>IF(B66&gt;2,"MKZ","")</f>
        <v/>
      </c>
      <c r="H48" s="15"/>
      <c r="I48" s="15"/>
    </row>
    <row r="49" spans="1:9" ht="13.5" customHeight="1">
      <c r="A49" s="73" t="s">
        <v>48</v>
      </c>
      <c r="B49" s="73"/>
      <c r="C49" s="74">
        <f>IF(ISBLANK(E49),-60,ROUND(MIN(-60,IF(C48&lt;36400,MIN(E49,F49)/-4,((60000-C48)*(MIN(E49,F49)/4-60)/23600+60)*-1)),2))</f>
        <v>-60</v>
      </c>
      <c r="D49" s="3"/>
      <c r="E49" s="75"/>
      <c r="F49" s="76">
        <f>IF(B65=0,2920,IF(B66&lt;3,5840,IF(G49="ohne MKZ",5840,5840)))</f>
        <v>2920</v>
      </c>
      <c r="G49" s="77"/>
      <c r="H49" s="15"/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für",IF(ISBLANK(G51),ROUND((B66-2)*12,0),""),"")</f>
        <v/>
      </c>
      <c r="H50" s="15"/>
      <c r="I50" s="15"/>
    </row>
    <row r="51" spans="1:9">
      <c r="A51" s="19" t="s">
        <v>87</v>
      </c>
      <c r="B51" s="19"/>
      <c r="C51" s="45"/>
      <c r="D51" s="16"/>
      <c r="E51" s="120"/>
      <c r="F51" s="21"/>
      <c r="G51" s="102"/>
      <c r="H51" s="15"/>
      <c r="I51" s="15"/>
    </row>
    <row r="52" spans="1:9" hidden="1">
      <c r="A52" s="79" t="s">
        <v>50</v>
      </c>
      <c r="B52" s="79"/>
      <c r="C52" s="80">
        <f>ROUND(IF(SUM(C48:C51)&lt;0,0,SUM(C48:C51)),2)</f>
        <v>21182.19</v>
      </c>
      <c r="D52" s="81"/>
      <c r="E52" s="82"/>
      <c r="F52" s="83">
        <f>ROUND(IF(C52&gt;36400,0.12,IF(C52&gt;14600,0.1,IF(C52&gt;7300,0.08,0.06)))-SUM(B65/100,B66/100),3)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2118.2199999999998</v>
      </c>
      <c r="G53" s="103"/>
      <c r="H53" s="15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101</v>
      </c>
      <c r="B55" s="86">
        <v>1</v>
      </c>
      <c r="C55" s="80">
        <f>ROUND(IF(SUM(C52:C54)&lt;0,0,SUM(C52:C54)),2)</f>
        <v>21182.19</v>
      </c>
      <c r="E55" s="87">
        <f>F55/C55</f>
        <v>-0.1351970688583192</v>
      </c>
      <c r="F55" s="23">
        <f>ROUND(SUM(D57:D63),2)</f>
        <v>-2863.77</v>
      </c>
      <c r="G55" s="103"/>
      <c r="H55" s="23"/>
    </row>
    <row r="56" spans="1:9" s="20" customFormat="1" ht="3.6" customHeight="1">
      <c r="A56" s="70"/>
      <c r="B56" s="86"/>
      <c r="C56" s="74"/>
      <c r="E56" s="87"/>
      <c r="F56" s="23"/>
      <c r="G56" s="103"/>
      <c r="H56" s="23"/>
    </row>
    <row r="57" spans="1:9" s="20" customFormat="1">
      <c r="A57" s="131">
        <v>11000</v>
      </c>
      <c r="B57" s="132">
        <v>0</v>
      </c>
      <c r="C57" s="134">
        <f>IF($C$55&gt;A57,A57,$C$55)</f>
        <v>11000</v>
      </c>
      <c r="D57" s="135">
        <f t="shared" ref="D57:D63" si="4">ROUND(B57*C57,4)</f>
        <v>0</v>
      </c>
      <c r="F57" s="23"/>
      <c r="G57" s="170"/>
      <c r="H57" s="23" t="s">
        <v>119</v>
      </c>
    </row>
    <row r="58" spans="1:9" s="20" customFormat="1">
      <c r="A58" s="131">
        <v>18000</v>
      </c>
      <c r="B58" s="132">
        <v>-0.25</v>
      </c>
      <c r="C58" s="134">
        <f>IF($C$55&gt;A58,A58-A57,$C$55-C57)</f>
        <v>7000</v>
      </c>
      <c r="D58" s="135">
        <f t="shared" si="4"/>
        <v>-1750</v>
      </c>
      <c r="F58" s="23"/>
      <c r="G58" s="170">
        <f>IF(C58&gt;0,B58,"")</f>
        <v>-0.25</v>
      </c>
      <c r="H58" s="23"/>
    </row>
    <row r="59" spans="1:9" s="20" customFormat="1">
      <c r="A59" s="131">
        <v>31000</v>
      </c>
      <c r="B59" s="132">
        <v>-0.35</v>
      </c>
      <c r="C59" s="134">
        <f>IF($C$55&gt;A59,A59-A58,$C$55-SUM($C$57:C58))</f>
        <v>3182.1899999999987</v>
      </c>
      <c r="D59" s="135">
        <f t="shared" si="4"/>
        <v>-1113.7665</v>
      </c>
      <c r="F59" s="23"/>
      <c r="G59" s="170">
        <f>IF(C59&gt;0,B59-B58,"")</f>
        <v>-9.9999999999999978E-2</v>
      </c>
      <c r="H59" s="23"/>
    </row>
    <row r="60" spans="1:9" s="20" customFormat="1">
      <c r="A60" s="131">
        <v>60000</v>
      </c>
      <c r="B60" s="132">
        <v>-0.42</v>
      </c>
      <c r="C60" s="134">
        <f>IF($C$55&gt;A60,A60-A59,$C$55-SUM($C$57:C59))</f>
        <v>0</v>
      </c>
      <c r="D60" s="135">
        <f t="shared" si="4"/>
        <v>0</v>
      </c>
      <c r="F60" s="23"/>
      <c r="G60" s="170" t="str">
        <f t="shared" ref="G60:G63" si="5">IF(C60&gt;0,B60-B59,"")</f>
        <v/>
      </c>
      <c r="H60" s="23"/>
    </row>
    <row r="61" spans="1:9" s="20" customFormat="1">
      <c r="A61" s="131">
        <v>90000</v>
      </c>
      <c r="B61" s="132">
        <v>-0.48</v>
      </c>
      <c r="C61" s="134">
        <f>IF($C$55&gt;A61,A61-A60,$C$55-SUM($C$57:C60))</f>
        <v>0</v>
      </c>
      <c r="D61" s="135">
        <f t="shared" si="4"/>
        <v>0</v>
      </c>
      <c r="F61" s="23"/>
      <c r="G61" s="170" t="str">
        <f t="shared" si="5"/>
        <v/>
      </c>
      <c r="H61" s="23"/>
    </row>
    <row r="62" spans="1:9" s="20" customFormat="1">
      <c r="A62" s="131">
        <v>1000000</v>
      </c>
      <c r="B62" s="132">
        <v>-0.5</v>
      </c>
      <c r="C62" s="134">
        <f>IF($C$55&gt;A62,A62-A61,$C$55-SUM($C$57:C61))</f>
        <v>0</v>
      </c>
      <c r="D62" s="135">
        <f t="shared" si="4"/>
        <v>0</v>
      </c>
      <c r="F62" s="23"/>
      <c r="G62" s="170" t="str">
        <f t="shared" si="5"/>
        <v/>
      </c>
      <c r="H62" s="23"/>
    </row>
    <row r="63" spans="1:9" s="20" customFormat="1">
      <c r="A63" s="133"/>
      <c r="B63" s="132">
        <v>-0.55000000000000004</v>
      </c>
      <c r="C63" s="134">
        <f>$C$55-SUM($C$57:C62)</f>
        <v>0</v>
      </c>
      <c r="D63" s="135">
        <f t="shared" si="4"/>
        <v>0</v>
      </c>
      <c r="F63" s="23"/>
      <c r="G63" s="170" t="str">
        <f t="shared" si="5"/>
        <v/>
      </c>
      <c r="H63" s="23"/>
    </row>
    <row r="64" spans="1:9" s="20" customFormat="1" ht="3" customHeight="1">
      <c r="A64" s="70"/>
      <c r="B64" s="86"/>
      <c r="C64" s="74"/>
      <c r="E64" s="87"/>
      <c r="F64" s="23"/>
      <c r="G64" s="103"/>
      <c r="H64" s="23"/>
    </row>
    <row r="65" spans="1:7" s="20" customFormat="1">
      <c r="A65" s="64" t="str">
        <f>IF(SUM(B65:B66)=1,"Ek Ehe-/Lebenspartner &lt; 6000,-/Jahr","Alleinverdiener, -erzieherabsetzbetrag")</f>
        <v>Alleinverdiener, -erzieherabsetzbetrag</v>
      </c>
      <c r="B65" s="88">
        <f>IF(ISBLANK(F65),0,1)</f>
        <v>0</v>
      </c>
      <c r="C65" s="89"/>
      <c r="E65" s="87">
        <f>F65/C55</f>
        <v>0</v>
      </c>
      <c r="F65" s="90"/>
      <c r="G65" s="103"/>
    </row>
    <row r="66" spans="1:7" s="20" customFormat="1">
      <c r="A66" s="19" t="s">
        <v>52</v>
      </c>
      <c r="B66" s="88">
        <f>IF(F66=130,1,IF(F66=305,2,IF(F66=525,3,IF(F66=745,4,IF(F66=965,5,IF(F66=1185,6,IF(F66=1405,7,0)))))))</f>
        <v>0</v>
      </c>
      <c r="C66" s="21"/>
      <c r="D66" s="19"/>
      <c r="E66" s="87">
        <f>F66/C55</f>
        <v>0</v>
      </c>
      <c r="F66" s="90"/>
      <c r="G66" s="103"/>
    </row>
    <row r="67" spans="1:7" s="20" customFormat="1" hidden="1">
      <c r="A67" s="79" t="s">
        <v>53</v>
      </c>
      <c r="B67" s="79"/>
      <c r="C67" s="80"/>
      <c r="D67" s="79"/>
      <c r="E67" s="91"/>
      <c r="F67" s="80">
        <f>ROUND(IF(F66=0,IF(SUM(F55:F65)&gt;0,0,SUM(F55:F66)),SUM(F55:F66)),2)</f>
        <v>-2863.77</v>
      </c>
      <c r="G67" s="103"/>
    </row>
    <row r="68" spans="1:7" s="20" customFormat="1">
      <c r="A68" s="25" t="s">
        <v>54</v>
      </c>
      <c r="B68" s="92">
        <f>IF(F68&gt;0,1,0)</f>
        <v>0</v>
      </c>
      <c r="C68" s="74"/>
      <c r="E68" s="87">
        <f>F68/C55</f>
        <v>0</v>
      </c>
      <c r="F68" s="90"/>
      <c r="G68" s="103"/>
    </row>
    <row r="69" spans="1:7" s="20" customFormat="1">
      <c r="A69" s="93" t="str">
        <f>IF(F69&lt;=0,"Einkommensteuer (ESt) des Jahres","ESt-Gutschrift aus Negativsteuer")</f>
        <v>Einkommensteuer (ESt) des Jahres</v>
      </c>
      <c r="B69" s="93"/>
      <c r="C69" s="80">
        <f>F69</f>
        <v>-2863</v>
      </c>
      <c r="D69" s="51">
        <f>ROUND(C69/C37,3)</f>
        <v>-0.10299999999999999</v>
      </c>
      <c r="E69" s="91">
        <f>SUM(E55:E68)</f>
        <v>-0.1351970688583192</v>
      </c>
      <c r="F69" s="80">
        <f>ROUNDDOWN(IF(F67&gt;0,F67,IF(SUM(F67:F68)&gt;0,0,SUM(F67:F68))),0)</f>
        <v>-2863</v>
      </c>
      <c r="G69" s="74" t="str">
        <f>IF(G49="inkl. MKZ für",IF(B66&gt;2,IF(ISBLANK(G51),ROUND(G50*20,2),ROUND(G51*20,2)),""),"")</f>
        <v/>
      </c>
    </row>
    <row r="70" spans="1:7" s="20" customFormat="1" ht="13.5" customHeight="1" thickBot="1">
      <c r="A70" s="94" t="s">
        <v>103</v>
      </c>
      <c r="B70" s="95"/>
      <c r="C70" s="96">
        <f>SUM(C55,C69)</f>
        <v>18319.189999999999</v>
      </c>
      <c r="D70" s="122">
        <f>ROUND(C70/C37,3)</f>
        <v>0.65800000000000003</v>
      </c>
      <c r="E70" s="323" t="str">
        <f>IF(C55&lt;=11000,"",CONCATENATE(" (Grenzsteuersatz .. ",SUM(G58:G63)*-100," %)"))</f>
        <v xml:space="preserve"> (Grenzsteuersatz .. 35 %)</v>
      </c>
      <c r="F70" s="323"/>
    </row>
    <row r="71" spans="1:7" s="20" customFormat="1" ht="29.25" customHeight="1" thickTop="1">
      <c r="A71" s="26"/>
      <c r="B71" s="26"/>
      <c r="C71" s="27"/>
      <c r="D71" s="27"/>
      <c r="E71" s="27"/>
      <c r="F71" s="39"/>
    </row>
    <row r="72" spans="1:7" ht="12">
      <c r="A72" s="1" t="s">
        <v>63</v>
      </c>
      <c r="B72" s="2" t="s">
        <v>0</v>
      </c>
      <c r="C72" s="2" t="s">
        <v>1</v>
      </c>
      <c r="D72" s="34" t="s">
        <v>4</v>
      </c>
      <c r="E72" s="35"/>
      <c r="F72" s="104" t="s">
        <v>58</v>
      </c>
    </row>
    <row r="73" spans="1:7">
      <c r="A73" s="4" t="s">
        <v>5</v>
      </c>
      <c r="B73" s="53">
        <f>ROUND(B11,2)</f>
        <v>3000</v>
      </c>
      <c r="C73" s="18">
        <f>B73*12</f>
        <v>36000</v>
      </c>
      <c r="D73" s="57">
        <v>1</v>
      </c>
    </row>
    <row r="74" spans="1:7">
      <c r="A74" s="4" t="s">
        <v>92</v>
      </c>
      <c r="B74" s="54">
        <f>ROUND(SUM(B14:B16,B18:B23,B25:B30,B32:B33),2)</f>
        <v>0</v>
      </c>
      <c r="C74" s="18">
        <f>B74*12</f>
        <v>0</v>
      </c>
      <c r="D74" s="57">
        <f>ROUND(B74/B73,3)</f>
        <v>0</v>
      </c>
    </row>
    <row r="75" spans="1:7">
      <c r="A75" s="16" t="s">
        <v>7</v>
      </c>
      <c r="B75" s="53">
        <f>ROUND(B47,2)</f>
        <v>-928.22</v>
      </c>
      <c r="C75" s="18">
        <f>B75*12</f>
        <v>-11138.64</v>
      </c>
      <c r="D75" s="57">
        <f>ROUND(B75/B73,3)</f>
        <v>-0.309</v>
      </c>
      <c r="E75" s="123" t="str">
        <f>CONCATENATE(" (davon  ",ROUND(SUM(C40,C75),2)," Nachforderung)")</f>
        <v xml:space="preserve"> (davon  -2978,64 Nachforderung)</v>
      </c>
    </row>
    <row r="76" spans="1:7">
      <c r="A76" s="4" t="s">
        <v>102</v>
      </c>
      <c r="B76" s="53">
        <f>ROUND(C69/12,2)</f>
        <v>-238.58</v>
      </c>
      <c r="C76" s="18">
        <f>B76*12</f>
        <v>-2862.96</v>
      </c>
      <c r="D76" s="57">
        <f>ROUND(B76/B73,3)</f>
        <v>-0.08</v>
      </c>
    </row>
    <row r="77" spans="1:7" ht="12" thickBot="1">
      <c r="A77" s="8" t="s">
        <v>55</v>
      </c>
      <c r="B77" s="55">
        <f>ROUND(SUM(B73:B76),2)</f>
        <v>1833.2</v>
      </c>
      <c r="C77" s="28">
        <f>B77*12</f>
        <v>21998.400000000001</v>
      </c>
      <c r="D77" s="58">
        <f>ROUND(B77/B73,4)</f>
        <v>0.61109999999999998</v>
      </c>
      <c r="E77" s="38"/>
      <c r="F77" s="37"/>
    </row>
    <row r="78" spans="1:7" ht="12.6" thickTop="1" thickBot="1">
      <c r="A78" s="29" t="s">
        <v>56</v>
      </c>
      <c r="B78" s="56">
        <f>ROUND(B77*12/14,2)</f>
        <v>1571.31</v>
      </c>
      <c r="C78" s="97"/>
      <c r="D78" s="98"/>
      <c r="E78" s="99"/>
      <c r="F78" s="99"/>
    </row>
    <row r="79" spans="1:7" s="20" customFormat="1" ht="25.5" customHeight="1" thickTop="1">
      <c r="A79" s="26"/>
      <c r="B79" s="26"/>
      <c r="C79" s="27"/>
      <c r="D79" s="27"/>
      <c r="E79" s="27"/>
      <c r="F79" s="39"/>
    </row>
    <row r="80" spans="1:7" ht="13.2">
      <c r="A80" s="108" t="s">
        <v>64</v>
      </c>
      <c r="B80" s="2" t="s">
        <v>0</v>
      </c>
      <c r="C80" s="2" t="s">
        <v>1</v>
      </c>
      <c r="D80" s="34"/>
      <c r="E80" s="35"/>
      <c r="F80" s="104" t="s">
        <v>58</v>
      </c>
    </row>
    <row r="81" spans="1:6" ht="13.5" customHeight="1">
      <c r="A81" s="20" t="s">
        <v>59</v>
      </c>
      <c r="B81" s="105">
        <f>C81/12</f>
        <v>2071.7824999999998</v>
      </c>
      <c r="C81" s="105">
        <f>C11+C34+C47-C17-C31-C33</f>
        <v>24861.39</v>
      </c>
    </row>
    <row r="82" spans="1:6">
      <c r="A82" s="20" t="s">
        <v>60</v>
      </c>
      <c r="B82" s="105">
        <f>C82/12</f>
        <v>0</v>
      </c>
      <c r="C82" s="105">
        <f>C33</f>
        <v>0</v>
      </c>
    </row>
    <row r="83" spans="1:6">
      <c r="A83" s="93" t="s">
        <v>61</v>
      </c>
      <c r="B83" s="80">
        <f>SUM(B81:B82)</f>
        <v>2071.7824999999998</v>
      </c>
      <c r="C83" s="80">
        <f>SUM(C81:C82)</f>
        <v>24861.39</v>
      </c>
    </row>
    <row r="84" spans="1:6">
      <c r="A84" s="20" t="s">
        <v>62</v>
      </c>
      <c r="B84" s="105">
        <f>C84/12</f>
        <v>0</v>
      </c>
      <c r="C84" s="105">
        <f>C17</f>
        <v>0</v>
      </c>
    </row>
    <row r="85" spans="1:6" ht="12" thickBot="1">
      <c r="A85" s="106" t="str">
        <f>IF(C85&lt;0,"   V e r l u s t","   G e w i n n   ( Überschuß)")</f>
        <v xml:space="preserve">   G e w i n n   ( Überschuß)</v>
      </c>
      <c r="B85" s="107">
        <f>ROUND(SUM(B83:B84),2)</f>
        <v>2071.7800000000002</v>
      </c>
      <c r="C85" s="107">
        <f>ROUND(SUM(C83:C84),2)</f>
        <v>24861.39</v>
      </c>
      <c r="D85" s="109"/>
      <c r="E85" s="37"/>
      <c r="F85" s="37"/>
    </row>
    <row r="86" spans="1:6" s="20" customFormat="1" ht="25.5" customHeight="1" thickTop="1">
      <c r="A86" s="26"/>
      <c r="B86" s="26"/>
      <c r="C86" s="27"/>
      <c r="D86" s="27"/>
      <c r="E86" s="27"/>
      <c r="F86" s="39"/>
    </row>
    <row r="87" spans="1:6" ht="13.2">
      <c r="A87" s="108" t="s">
        <v>65</v>
      </c>
      <c r="B87" s="2" t="s">
        <v>0</v>
      </c>
      <c r="C87" s="2" t="s">
        <v>1</v>
      </c>
      <c r="D87" s="34"/>
      <c r="E87" s="35"/>
      <c r="F87" s="104" t="s">
        <v>58</v>
      </c>
    </row>
    <row r="88" spans="1:6" ht="12.75" customHeight="1">
      <c r="A88" s="4" t="s">
        <v>66</v>
      </c>
      <c r="C88" s="113"/>
    </row>
    <row r="89" spans="1:6">
      <c r="A89" s="110" t="s">
        <v>67</v>
      </c>
      <c r="B89" s="111"/>
      <c r="C89" s="46"/>
    </row>
    <row r="90" spans="1:6" ht="14.25" customHeight="1">
      <c r="A90" s="4" t="s">
        <v>68</v>
      </c>
      <c r="C90" s="18">
        <f>SUM(C88:C89)</f>
        <v>0</v>
      </c>
    </row>
    <row r="91" spans="1:6">
      <c r="A91" s="110" t="s">
        <v>69</v>
      </c>
      <c r="B91" s="111"/>
      <c r="C91" s="46"/>
      <c r="D91" s="114"/>
      <c r="E91" s="112">
        <f>SUM(C90:C91)</f>
        <v>0</v>
      </c>
    </row>
    <row r="92" spans="1:6" ht="17.25" customHeight="1">
      <c r="A92" s="4" t="s">
        <v>70</v>
      </c>
      <c r="B92" s="18">
        <f>C92/12</f>
        <v>1833.2</v>
      </c>
      <c r="C92" s="18">
        <f>C77</f>
        <v>21998.400000000001</v>
      </c>
    </row>
    <row r="93" spans="1:6">
      <c r="A93" s="110" t="s">
        <v>71</v>
      </c>
      <c r="B93" s="46"/>
      <c r="C93" s="112">
        <f>B93*12</f>
        <v>0</v>
      </c>
      <c r="D93" s="114"/>
      <c r="E93" s="112">
        <f>SUM(C92:C93)</f>
        <v>21998.400000000001</v>
      </c>
    </row>
    <row r="94" spans="1:6" ht="13.5" customHeight="1">
      <c r="A94" s="4" t="s">
        <v>72</v>
      </c>
      <c r="B94" s="18">
        <f>C94/12</f>
        <v>0</v>
      </c>
      <c r="C94" s="113"/>
      <c r="E94" s="18">
        <f>C94</f>
        <v>0</v>
      </c>
    </row>
    <row r="95" spans="1:6" ht="15" customHeight="1" thickBot="1">
      <c r="A95" s="106" t="str">
        <f>IF(C95&lt;0,"   U n t e r d e c k u n g   gesamt","   Ü b e r d e c k u n g   gesamt")</f>
        <v xml:space="preserve">   Ü b e r d e c k u n g   gesamt</v>
      </c>
      <c r="B95" s="9"/>
      <c r="C95" s="28">
        <f>SUM(C90:C94)</f>
        <v>21998.400000000001</v>
      </c>
      <c r="D95" s="109"/>
      <c r="E95" s="28">
        <f>SUM(E91:E94)</f>
        <v>21998.400000000001</v>
      </c>
      <c r="F95" s="37"/>
    </row>
    <row r="96" spans="1:6" s="20" customFormat="1" ht="25.5" customHeight="1" thickTop="1">
      <c r="A96" s="26"/>
      <c r="B96" s="26"/>
      <c r="C96" s="27"/>
      <c r="D96" s="27"/>
      <c r="E96" s="27"/>
      <c r="F96" s="39"/>
    </row>
    <row r="97" spans="1:9">
      <c r="C97" s="5"/>
    </row>
    <row r="98" spans="1:9">
      <c r="C98" s="5"/>
    </row>
    <row r="99" spans="1:9">
      <c r="C99" s="5"/>
    </row>
    <row r="100" spans="1:9">
      <c r="C100" s="5"/>
    </row>
    <row r="101" spans="1:9">
      <c r="C101" s="5"/>
    </row>
    <row r="102" spans="1:9">
      <c r="C102" s="5"/>
    </row>
    <row r="103" spans="1:9">
      <c r="C103" s="5"/>
    </row>
    <row r="104" spans="1:9">
      <c r="C104" s="5"/>
    </row>
    <row r="105" spans="1:9">
      <c r="C105" s="5"/>
    </row>
    <row r="106" spans="1:9" s="7" customFormat="1">
      <c r="A106" s="4"/>
      <c r="B106" s="5"/>
      <c r="C106" s="5"/>
      <c r="E106" s="3"/>
      <c r="F106" s="3"/>
      <c r="G106" s="3"/>
      <c r="H106" s="3"/>
      <c r="I106" s="3"/>
    </row>
    <row r="107" spans="1:9" s="7" customFormat="1">
      <c r="A107" s="4"/>
      <c r="B107" s="5"/>
      <c r="C107" s="5"/>
      <c r="E107" s="3"/>
      <c r="F107" s="3"/>
      <c r="G107" s="3"/>
      <c r="H107" s="3"/>
      <c r="I107" s="3"/>
    </row>
    <row r="108" spans="1:9" s="7" customFormat="1">
      <c r="A108" s="4"/>
      <c r="B108" s="5"/>
      <c r="C108" s="5"/>
      <c r="E108" s="3"/>
      <c r="F108" s="3"/>
      <c r="G108" s="3"/>
      <c r="H108" s="3"/>
      <c r="I108" s="3"/>
    </row>
    <row r="109" spans="1:9" s="7" customFormat="1">
      <c r="A109" s="4"/>
      <c r="B109" s="5"/>
      <c r="C109" s="5"/>
      <c r="E109" s="3"/>
      <c r="F109" s="3"/>
      <c r="G109" s="3"/>
      <c r="H109" s="3"/>
      <c r="I109" s="3"/>
    </row>
    <row r="110" spans="1:9" s="7" customFormat="1">
      <c r="A110" s="4"/>
      <c r="B110" s="5"/>
      <c r="C110" s="5"/>
      <c r="E110" s="3"/>
      <c r="F110" s="3"/>
      <c r="G110" s="3"/>
      <c r="H110" s="3"/>
      <c r="I110" s="3"/>
    </row>
    <row r="111" spans="1:9" s="7" customFormat="1">
      <c r="A111" s="4"/>
      <c r="B111" s="5"/>
      <c r="C111" s="5"/>
      <c r="E111" s="3"/>
      <c r="F111" s="3"/>
      <c r="G111" s="3"/>
      <c r="H111" s="3"/>
      <c r="I111" s="3"/>
    </row>
    <row r="112" spans="1:9" s="7" customFormat="1">
      <c r="A112" s="4"/>
      <c r="B112" s="5"/>
      <c r="C112" s="5"/>
      <c r="E112" s="3"/>
      <c r="F112" s="3"/>
      <c r="G112" s="3"/>
      <c r="H112" s="3"/>
      <c r="I112" s="3"/>
    </row>
    <row r="113" spans="1:9" s="7" customFormat="1">
      <c r="A113" s="4"/>
      <c r="B113" s="5"/>
      <c r="C113" s="5"/>
      <c r="E113" s="3"/>
      <c r="F113" s="3"/>
      <c r="G113" s="3"/>
      <c r="H113" s="3"/>
      <c r="I113" s="3"/>
    </row>
    <row r="114" spans="1:9" s="7" customFormat="1">
      <c r="A114" s="4"/>
      <c r="B114" s="5"/>
      <c r="C114" s="5"/>
      <c r="E114" s="3"/>
      <c r="F114" s="3"/>
      <c r="G114" s="3"/>
      <c r="H114" s="3"/>
      <c r="I114" s="3"/>
    </row>
    <row r="115" spans="1:9" s="7" customFormat="1">
      <c r="A115" s="4"/>
      <c r="B115" s="5"/>
      <c r="C115" s="5"/>
      <c r="E115" s="3"/>
      <c r="F115" s="3"/>
      <c r="G115" s="3"/>
      <c r="H115" s="3"/>
      <c r="I115" s="3"/>
    </row>
    <row r="116" spans="1:9" s="7" customFormat="1">
      <c r="A116" s="4"/>
      <c r="B116" s="5"/>
      <c r="C116" s="5"/>
      <c r="E116" s="3"/>
      <c r="F116" s="3"/>
      <c r="G116" s="3"/>
      <c r="H116" s="3"/>
      <c r="I116" s="3"/>
    </row>
    <row r="117" spans="1:9" s="7" customFormat="1">
      <c r="A117" s="4"/>
      <c r="B117" s="5"/>
      <c r="C117" s="5"/>
      <c r="E117" s="3"/>
      <c r="F117" s="3"/>
      <c r="G117" s="3"/>
      <c r="H117" s="3"/>
      <c r="I117" s="3"/>
    </row>
  </sheetData>
  <sheetProtection password="C837" sheet="1" objects="1" scenarios="1" autoFilter="0"/>
  <mergeCells count="4">
    <mergeCell ref="A1:D1"/>
    <mergeCell ref="E1:F1"/>
    <mergeCell ref="D42:F42"/>
    <mergeCell ref="E70:F70"/>
  </mergeCells>
  <conditionalFormatting sqref="F65">
    <cfRule type="expression" dxfId="119" priority="2" stopIfTrue="1">
      <formula>AND(F65=0,F66&gt;0)</formula>
    </cfRule>
  </conditionalFormatting>
  <conditionalFormatting sqref="B65">
    <cfRule type="expression" dxfId="118" priority="3" stopIfTrue="1">
      <formula>AND(F65=0,F66&gt;0)</formula>
    </cfRule>
  </conditionalFormatting>
  <conditionalFormatting sqref="B66">
    <cfRule type="expression" dxfId="117" priority="4" stopIfTrue="1">
      <formula>AND(F65=0,F66&gt;0)</formula>
    </cfRule>
  </conditionalFormatting>
  <conditionalFormatting sqref="G49">
    <cfRule type="expression" dxfId="116" priority="5" stopIfTrue="1">
      <formula>AND(B66&gt;2)</formula>
    </cfRule>
  </conditionalFormatting>
  <conditionalFormatting sqref="G52:G56 G64:G68">
    <cfRule type="expression" dxfId="115" priority="6" stopIfTrue="1">
      <formula>AND(B$66&gt;2)</formula>
    </cfRule>
  </conditionalFormatting>
  <conditionalFormatting sqref="G69">
    <cfRule type="expression" dxfId="114" priority="7" stopIfTrue="1">
      <formula>AND(B66&gt;2)</formula>
    </cfRule>
  </conditionalFormatting>
  <conditionalFormatting sqref="G48">
    <cfRule type="expression" dxfId="113" priority="8" stopIfTrue="1">
      <formula>AND(B66&gt;2)</formula>
    </cfRule>
  </conditionalFormatting>
  <conditionalFormatting sqref="G51">
    <cfRule type="expression" dxfId="112" priority="9" stopIfTrue="1">
      <formula>AND(B66&gt;2)</formula>
    </cfRule>
  </conditionalFormatting>
  <conditionalFormatting sqref="G50">
    <cfRule type="expression" dxfId="111" priority="10" stopIfTrue="1">
      <formula>AND(B66&gt;2)</formula>
    </cfRule>
  </conditionalFormatting>
  <conditionalFormatting sqref="E75">
    <cfRule type="expression" dxfId="110" priority="11" stopIfTrue="1">
      <formula>SUM(C40,C75)&lt;0</formula>
    </cfRule>
  </conditionalFormatting>
  <conditionalFormatting sqref="D38">
    <cfRule type="cellIs" dxfId="109" priority="12" stopIfTrue="1" operator="notBetween">
      <formula>0</formula>
      <formula>-0.13</formula>
    </cfRule>
  </conditionalFormatting>
  <conditionalFormatting sqref="F66">
    <cfRule type="expression" dxfId="108" priority="13" stopIfTrue="1">
      <formula>AND(F65=0,F66&gt;0)</formula>
    </cfRule>
    <cfRule type="expression" dxfId="107" priority="14" stopIfTrue="1">
      <formula>AND(F65&gt;0,F66=0)</formula>
    </cfRule>
  </conditionalFormatting>
  <conditionalFormatting sqref="G57:G63">
    <cfRule type="expression" dxfId="106" priority="1" stopIfTrue="1">
      <formula>AND(B$66&gt;2)</formula>
    </cfRule>
  </conditionalFormatting>
  <dataValidations count="20"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allowBlank="1" showInputMessage="1" showErrorMessage="1" errorTitle="RVO zu Unterhaltsabsetzbetrag:" error="Eingabe derzeit auf 0 bis 2.000,- beschränkt!" sqref="F68">
      <formula1>0</formula1>
      <formula2>2000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KiFB:" error="Die Eingabe erlaubt einen negativen Wert von -2200,- bis 0!" sqref="C51">
      <formula1>-3080</formula1>
      <formula2>0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: Fehler zu Einnahme!" error="Werte zwischen Null und 999.999,- erlaubt!" sqref="C91 B3:B10">
      <formula1>0</formula1>
      <formula2>999999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Ausgabe!" error="Nur negative Werte zwischen Null und &quot;Minus&quot;  -999.999,- erlaubt!" sqref="C88:C89 B93 B14:B33">
      <formula1>-999999</formula1>
      <formula2>0</formula2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list" allowBlank="1" showInputMessage="1" showErrorMessage="1" errorTitle="RVO zu Kinderzuschlag:" error="Eingabe lt. Liste. Die Werte steigen nach Anzahl der Kinder!" sqref="F66">
      <formula1>"0,130,305,525,745,965,1185,1405"</formula1>
    </dataValidation>
    <dataValidation type="list" operator="equal" allowBlank="1" showInputMessage="1" showErrorMessage="1" errorTitle="RVO zu Absetzbetrag:" error="Wert Null oder 364 gefordert!" sqref="F65">
      <formula1>"0,364"</formula1>
    </dataValidation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</dataValidations>
  <hyperlinks>
    <hyperlink ref="F36" r:id="rId1" display="www.rvo.at"/>
    <hyperlink ref="F72" r:id="rId2" display="www.rvo.at"/>
    <hyperlink ref="F80" r:id="rId3" display="www.rvo.at"/>
    <hyperlink ref="F87" r:id="rId4" display="www.rvo.at"/>
    <hyperlink ref="G43" r:id="rId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&amp;L&amp;8copyright © www.rvo.at</oddFooter>
  </headerFooter>
  <legacyDrawing r:id="rId7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Normal="100" workbookViewId="0">
      <pane ySplit="1" topLeftCell="A2" activePane="bottomLeft" state="frozen"/>
      <selection pane="bottomLeft" activeCell="A12" sqref="A12"/>
    </sheetView>
  </sheetViews>
  <sheetFormatPr baseColWidth="10" defaultColWidth="11.44140625" defaultRowHeight="11.4"/>
  <cols>
    <col min="1" max="1" width="12.44140625" style="168" customWidth="1"/>
    <col min="2" max="2" width="10.6640625" style="169" bestFit="1" customWidth="1"/>
    <col min="3" max="3" width="10.6640625" style="138" customWidth="1"/>
    <col min="4" max="4" width="9.6640625" style="167" customWidth="1"/>
    <col min="5" max="5" width="12" style="138" bestFit="1" customWidth="1"/>
    <col min="6" max="6" width="10.77734375" style="138" customWidth="1"/>
    <col min="7" max="7" width="11.44140625" style="138" bestFit="1" customWidth="1"/>
    <col min="8" max="16384" width="11.44140625" style="138"/>
  </cols>
  <sheetData>
    <row r="1" spans="1:10" ht="15" customHeight="1">
      <c r="A1" s="324" t="s">
        <v>122</v>
      </c>
      <c r="B1" s="324"/>
      <c r="C1" s="324"/>
      <c r="D1" s="324"/>
      <c r="E1" s="324"/>
      <c r="F1" s="136" t="s">
        <v>58</v>
      </c>
      <c r="G1" s="137" t="s">
        <v>58</v>
      </c>
    </row>
    <row r="2" spans="1:10" ht="17.399999999999999" customHeight="1">
      <c r="A2" s="139" t="s">
        <v>104</v>
      </c>
      <c r="B2" s="140" t="s">
        <v>105</v>
      </c>
      <c r="C2" s="140" t="s">
        <v>106</v>
      </c>
      <c r="D2" s="141" t="s">
        <v>107</v>
      </c>
      <c r="E2" s="141" t="s">
        <v>108</v>
      </c>
      <c r="G2" s="142"/>
      <c r="H2" s="143"/>
    </row>
    <row r="3" spans="1:10">
      <c r="A3" s="144">
        <v>11000</v>
      </c>
      <c r="B3" s="145">
        <v>0</v>
      </c>
      <c r="C3" s="146">
        <v>-11000</v>
      </c>
      <c r="D3" s="147">
        <v>0</v>
      </c>
      <c r="E3" s="145">
        <v>0</v>
      </c>
      <c r="F3" s="143"/>
      <c r="I3" s="145" t="s">
        <v>120</v>
      </c>
    </row>
    <row r="4" spans="1:10">
      <c r="A4" s="144">
        <v>18000</v>
      </c>
      <c r="B4" s="145">
        <v>-0.25</v>
      </c>
      <c r="C4" s="146">
        <f t="shared" ref="C4:C8" si="0">A3-A4</f>
        <v>-7000</v>
      </c>
      <c r="D4" s="147">
        <f>B4*C4</f>
        <v>1750</v>
      </c>
      <c r="E4" s="145">
        <f t="shared" ref="E4:E9" si="1">B3-B4</f>
        <v>0.25</v>
      </c>
      <c r="F4" s="145"/>
      <c r="I4" s="145" t="s">
        <v>109</v>
      </c>
    </row>
    <row r="5" spans="1:10">
      <c r="A5" s="144">
        <v>31000</v>
      </c>
      <c r="B5" s="145">
        <v>-0.35</v>
      </c>
      <c r="C5" s="146">
        <f t="shared" si="0"/>
        <v>-13000</v>
      </c>
      <c r="D5" s="147">
        <f>B5*C5+D4</f>
        <v>6300</v>
      </c>
      <c r="E5" s="145">
        <f t="shared" si="1"/>
        <v>9.9999999999999978E-2</v>
      </c>
      <c r="F5" s="145"/>
      <c r="I5" s="145" t="s">
        <v>110</v>
      </c>
    </row>
    <row r="6" spans="1:10">
      <c r="A6" s="144">
        <v>60000</v>
      </c>
      <c r="B6" s="145">
        <v>-0.42</v>
      </c>
      <c r="C6" s="146">
        <f t="shared" si="0"/>
        <v>-29000</v>
      </c>
      <c r="D6" s="147">
        <f>B6*C6+D5</f>
        <v>18480</v>
      </c>
      <c r="E6" s="145">
        <f t="shared" si="1"/>
        <v>7.0000000000000007E-2</v>
      </c>
      <c r="F6" s="145"/>
      <c r="G6" s="145"/>
    </row>
    <row r="7" spans="1:10">
      <c r="A7" s="144">
        <v>90000</v>
      </c>
      <c r="B7" s="145">
        <v>-0.48</v>
      </c>
      <c r="C7" s="146">
        <f t="shared" si="0"/>
        <v>-30000</v>
      </c>
      <c r="D7" s="147">
        <f>B7*C7+D6</f>
        <v>32880</v>
      </c>
      <c r="E7" s="145">
        <f t="shared" si="1"/>
        <v>0.06</v>
      </c>
      <c r="F7" s="145"/>
      <c r="G7" s="145"/>
    </row>
    <row r="8" spans="1:10">
      <c r="A8" s="144">
        <v>1000000</v>
      </c>
      <c r="B8" s="145">
        <v>-0.5</v>
      </c>
      <c r="C8" s="146">
        <f t="shared" si="0"/>
        <v>-910000</v>
      </c>
      <c r="D8" s="147">
        <f>B8*C8+D7</f>
        <v>487880</v>
      </c>
      <c r="E8" s="145">
        <f t="shared" si="1"/>
        <v>2.0000000000000018E-2</v>
      </c>
      <c r="F8" s="145"/>
      <c r="G8" s="145"/>
    </row>
    <row r="9" spans="1:10">
      <c r="A9" s="148" t="s">
        <v>111</v>
      </c>
      <c r="B9" s="145">
        <v>-0.55000000000000004</v>
      </c>
      <c r="C9" s="149"/>
      <c r="D9" s="150"/>
      <c r="E9" s="145">
        <f t="shared" si="1"/>
        <v>5.0000000000000044E-2</v>
      </c>
      <c r="F9" s="145"/>
      <c r="G9" s="145"/>
      <c r="H9" s="147"/>
      <c r="I9" s="147"/>
    </row>
    <row r="10" spans="1:10">
      <c r="A10" s="151"/>
      <c r="B10" s="145"/>
      <c r="C10" s="149"/>
      <c r="D10" s="150"/>
      <c r="E10" s="145"/>
      <c r="F10" s="145"/>
      <c r="G10" s="145"/>
      <c r="H10" s="147"/>
      <c r="I10" s="147"/>
    </row>
    <row r="11" spans="1:10">
      <c r="A11" s="152" t="s">
        <v>112</v>
      </c>
      <c r="B11" s="153" t="s">
        <v>105</v>
      </c>
      <c r="C11" s="153" t="s">
        <v>113</v>
      </c>
      <c r="D11" s="154" t="s">
        <v>114</v>
      </c>
      <c r="E11" s="154" t="s">
        <v>115</v>
      </c>
      <c r="F11" s="155"/>
      <c r="G11" s="153" t="s">
        <v>121</v>
      </c>
      <c r="H11" s="154" t="s">
        <v>115</v>
      </c>
    </row>
    <row r="12" spans="1:10" ht="18" customHeight="1">
      <c r="A12" s="156">
        <v>25000</v>
      </c>
      <c r="B12" s="157">
        <f t="shared" ref="B12:B74" si="2">ROUND(IF(A12&lt;=11000,0,IF(A12&lt;=18000,"-25 %",IF(A12&lt;=31000,"-35 %",IF(A12&lt;=60000,"-42 %",IF(A12&lt;=90000,"-48 %",IF(A12&lt;=1000000,"-50 %","-55 %")))))),2)</f>
        <v>-0.35</v>
      </c>
      <c r="C12" s="158">
        <f t="shared" ref="C12:C74" si="3">ROUND(IF(A12&lt;$A$3,0,IF(A12&lt;$A$4,(A12-$A$3)*$B$4,IF(A12&lt;$A$5,(A12-$A$4)*$B$5-$D$4,IF(A12&lt;$A$6,(A12-$A$5)*$B$6-$D$5,IF(A12&lt;$A$7,(A12-$A$6)*$B$7-$D$6,IF(A12&lt;$A$8,(A12-$A$7)*$B$8-$D$7,(A12-$A$8)*$B$9-$D$8)))))),2)</f>
        <v>-4200</v>
      </c>
      <c r="D12" s="159">
        <f t="shared" ref="D12:D74" si="4">ROUND(IF(A12&lt;=11000,0,IF(A12&lt;=25000,(A12-11000)*5110/14000,IF(A12&lt;=60000,(A12-25000)*15125/35000+5110,(A12-60000)*0.5+20235)))*-1,2)</f>
        <v>-5110</v>
      </c>
      <c r="E12" s="159">
        <f>F12-D12</f>
        <v>910</v>
      </c>
      <c r="F12" s="160">
        <f t="shared" ref="F12:F17" si="5">ROUND(IF(A12&lt;11000,0,IF(A12&lt;18000,(A12-11000)*-0.25,IF(A12&lt;31000,(A12-18000)*-0.35-1750,IF(A12&lt;60000,(A12-31000)*-0.42-6300,IF(A12&lt;90000,(A12-60000)*-0.48-18480,IF(A12&lt;1000000,(A12-90000)*-0.5-32880,(A12-1000000)*-0.55-487880)))))),2)</f>
        <v>-4200</v>
      </c>
      <c r="G12" s="172">
        <f t="shared" ref="G12:G43" si="6">ROUND(C12/A12,4)</f>
        <v>-0.16800000000000001</v>
      </c>
      <c r="H12" s="172">
        <f t="shared" ref="H12:H43" si="7">ROUND(E12/A12,4)</f>
        <v>3.6400000000000002E-2</v>
      </c>
      <c r="I12" s="161" t="s">
        <v>118</v>
      </c>
      <c r="J12" s="138" t="s">
        <v>116</v>
      </c>
    </row>
    <row r="13" spans="1:10">
      <c r="A13" s="162">
        <v>11000</v>
      </c>
      <c r="B13" s="163">
        <f>ROUND(IF(A13&lt;=11000,0,IF(A13&lt;=18000,"-25 %",IF(A13&lt;=31000,"-35 %",IF(A13&lt;=60000,"-42 %",IF(A13&lt;=90000,"-48 %",IF(A13&lt;=1000000,"-50 %","-55 %")))))),2)</f>
        <v>0</v>
      </c>
      <c r="C13" s="147">
        <f t="shared" si="3"/>
        <v>0</v>
      </c>
      <c r="D13" s="164">
        <f t="shared" si="4"/>
        <v>0</v>
      </c>
      <c r="E13" s="165">
        <f>C13-D13</f>
        <v>0</v>
      </c>
      <c r="F13" s="166">
        <f t="shared" si="5"/>
        <v>0</v>
      </c>
      <c r="G13" s="171">
        <f t="shared" si="6"/>
        <v>0</v>
      </c>
      <c r="H13" s="171">
        <f t="shared" si="7"/>
        <v>0</v>
      </c>
      <c r="J13" s="20" t="s">
        <v>117</v>
      </c>
    </row>
    <row r="14" spans="1:10">
      <c r="A14" s="162">
        <v>12000</v>
      </c>
      <c r="B14" s="163">
        <f t="shared" si="2"/>
        <v>-0.25</v>
      </c>
      <c r="C14" s="147">
        <f t="shared" si="3"/>
        <v>-250</v>
      </c>
      <c r="D14" s="164">
        <f t="shared" si="4"/>
        <v>-365</v>
      </c>
      <c r="E14" s="165">
        <f>C14-D14</f>
        <v>115</v>
      </c>
      <c r="F14" s="166">
        <f t="shared" si="5"/>
        <v>-250</v>
      </c>
      <c r="G14" s="171">
        <f t="shared" si="6"/>
        <v>-2.0799999999999999E-2</v>
      </c>
      <c r="H14" s="171">
        <f t="shared" si="7"/>
        <v>9.5999999999999992E-3</v>
      </c>
    </row>
    <row r="15" spans="1:10">
      <c r="A15" s="162">
        <v>13000</v>
      </c>
      <c r="B15" s="163">
        <f t="shared" si="2"/>
        <v>-0.25</v>
      </c>
      <c r="C15" s="147">
        <f t="shared" si="3"/>
        <v>-500</v>
      </c>
      <c r="D15" s="164">
        <f t="shared" si="4"/>
        <v>-730</v>
      </c>
      <c r="E15" s="165">
        <f>C15-D15</f>
        <v>230</v>
      </c>
      <c r="F15" s="166">
        <f t="shared" si="5"/>
        <v>-500</v>
      </c>
      <c r="G15" s="171">
        <f t="shared" si="6"/>
        <v>-3.85E-2</v>
      </c>
      <c r="H15" s="171">
        <f t="shared" si="7"/>
        <v>1.77E-2</v>
      </c>
    </row>
    <row r="16" spans="1:10">
      <c r="A16" s="162">
        <v>14000</v>
      </c>
      <c r="B16" s="163">
        <f t="shared" si="2"/>
        <v>-0.25</v>
      </c>
      <c r="C16" s="147">
        <f t="shared" si="3"/>
        <v>-750</v>
      </c>
      <c r="D16" s="164">
        <f t="shared" si="4"/>
        <v>-1095</v>
      </c>
      <c r="E16" s="165">
        <f t="shared" ref="E16:E74" si="8">C16-D16</f>
        <v>345</v>
      </c>
      <c r="F16" s="166">
        <f t="shared" si="5"/>
        <v>-750</v>
      </c>
      <c r="G16" s="171">
        <f t="shared" si="6"/>
        <v>-5.3600000000000002E-2</v>
      </c>
      <c r="H16" s="171">
        <f t="shared" si="7"/>
        <v>2.46E-2</v>
      </c>
    </row>
    <row r="17" spans="1:8">
      <c r="A17" s="162">
        <v>15000</v>
      </c>
      <c r="B17" s="163">
        <f t="shared" si="2"/>
        <v>-0.25</v>
      </c>
      <c r="C17" s="147">
        <f t="shared" si="3"/>
        <v>-1000</v>
      </c>
      <c r="D17" s="164">
        <f t="shared" si="4"/>
        <v>-1460</v>
      </c>
      <c r="E17" s="165">
        <f t="shared" si="8"/>
        <v>460</v>
      </c>
      <c r="F17" s="166">
        <f t="shared" si="5"/>
        <v>-1000</v>
      </c>
      <c r="G17" s="171">
        <f t="shared" si="6"/>
        <v>-6.6699999999999995E-2</v>
      </c>
      <c r="H17" s="171">
        <f t="shared" si="7"/>
        <v>3.0700000000000002E-2</v>
      </c>
    </row>
    <row r="18" spans="1:8">
      <c r="A18" s="162">
        <v>16000</v>
      </c>
      <c r="B18" s="163">
        <f t="shared" si="2"/>
        <v>-0.25</v>
      </c>
      <c r="C18" s="147">
        <f t="shared" si="3"/>
        <v>-1250</v>
      </c>
      <c r="D18" s="164">
        <f t="shared" si="4"/>
        <v>-1825</v>
      </c>
      <c r="E18" s="165">
        <f t="shared" si="8"/>
        <v>575</v>
      </c>
      <c r="F18" s="166"/>
      <c r="G18" s="171">
        <f t="shared" si="6"/>
        <v>-7.8100000000000003E-2</v>
      </c>
      <c r="H18" s="171">
        <f t="shared" si="7"/>
        <v>3.5900000000000001E-2</v>
      </c>
    </row>
    <row r="19" spans="1:8">
      <c r="A19" s="162">
        <v>17000</v>
      </c>
      <c r="B19" s="163">
        <f t="shared" si="2"/>
        <v>-0.25</v>
      </c>
      <c r="C19" s="147">
        <f t="shared" si="3"/>
        <v>-1500</v>
      </c>
      <c r="D19" s="164">
        <f t="shared" si="4"/>
        <v>-2190</v>
      </c>
      <c r="E19" s="165">
        <f t="shared" si="8"/>
        <v>690</v>
      </c>
      <c r="F19" s="166"/>
      <c r="G19" s="171">
        <f t="shared" si="6"/>
        <v>-8.8200000000000001E-2</v>
      </c>
      <c r="H19" s="171">
        <f t="shared" si="7"/>
        <v>4.0599999999999997E-2</v>
      </c>
    </row>
    <row r="20" spans="1:8">
      <c r="A20" s="162">
        <v>18000</v>
      </c>
      <c r="B20" s="163">
        <f t="shared" si="2"/>
        <v>-0.25</v>
      </c>
      <c r="C20" s="147">
        <f t="shared" si="3"/>
        <v>-1750</v>
      </c>
      <c r="D20" s="164">
        <f t="shared" si="4"/>
        <v>-2555</v>
      </c>
      <c r="E20" s="165">
        <f t="shared" si="8"/>
        <v>805</v>
      </c>
      <c r="F20" s="166"/>
      <c r="G20" s="171">
        <f t="shared" si="6"/>
        <v>-9.7199999999999995E-2</v>
      </c>
      <c r="H20" s="171">
        <f t="shared" si="7"/>
        <v>4.4699999999999997E-2</v>
      </c>
    </row>
    <row r="21" spans="1:8">
      <c r="A21" s="162">
        <v>19000</v>
      </c>
      <c r="B21" s="163">
        <f t="shared" si="2"/>
        <v>-0.35</v>
      </c>
      <c r="C21" s="147">
        <f t="shared" si="3"/>
        <v>-2100</v>
      </c>
      <c r="D21" s="164">
        <f t="shared" si="4"/>
        <v>-2920</v>
      </c>
      <c r="E21" s="165">
        <f t="shared" si="8"/>
        <v>820</v>
      </c>
      <c r="F21" s="166">
        <f t="shared" ref="F21:F74" si="9">ROUND(IF(A21&lt;11000,0,IF(A21&lt;18000,(A21-11000)*-0.25,IF(A21&lt;31000,(A21-18000)*-0.35-1750,IF(A21&lt;60000,(A21-31000)*-0.42-6300,IF(A21&lt;90000,(A21-60000)*-0.48-18480,IF(A21&lt;1000000,(A21-90000)*-0.5-32880,(A21-1000000)*-0.55-487880)))))),2)</f>
        <v>-2100</v>
      </c>
      <c r="G21" s="171">
        <f t="shared" si="6"/>
        <v>-0.1105</v>
      </c>
      <c r="H21" s="171">
        <f t="shared" si="7"/>
        <v>4.3200000000000002E-2</v>
      </c>
    </row>
    <row r="22" spans="1:8">
      <c r="A22" s="162">
        <v>21000</v>
      </c>
      <c r="B22" s="163">
        <f t="shared" si="2"/>
        <v>-0.35</v>
      </c>
      <c r="C22" s="147">
        <f t="shared" si="3"/>
        <v>-2800</v>
      </c>
      <c r="D22" s="164">
        <f t="shared" si="4"/>
        <v>-3650</v>
      </c>
      <c r="E22" s="165">
        <f t="shared" si="8"/>
        <v>850</v>
      </c>
      <c r="F22" s="166">
        <f t="shared" si="9"/>
        <v>-2800</v>
      </c>
      <c r="G22" s="171">
        <f t="shared" si="6"/>
        <v>-0.1333</v>
      </c>
      <c r="H22" s="171">
        <f t="shared" si="7"/>
        <v>4.0500000000000001E-2</v>
      </c>
    </row>
    <row r="23" spans="1:8">
      <c r="A23" s="162">
        <v>23000</v>
      </c>
      <c r="B23" s="163">
        <f t="shared" si="2"/>
        <v>-0.35</v>
      </c>
      <c r="C23" s="147">
        <f t="shared" si="3"/>
        <v>-3500</v>
      </c>
      <c r="D23" s="164">
        <f t="shared" si="4"/>
        <v>-4380</v>
      </c>
      <c r="E23" s="165">
        <f t="shared" si="8"/>
        <v>880</v>
      </c>
      <c r="F23" s="166">
        <f t="shared" si="9"/>
        <v>-3500</v>
      </c>
      <c r="G23" s="171">
        <f t="shared" si="6"/>
        <v>-0.1522</v>
      </c>
      <c r="H23" s="171">
        <f t="shared" si="7"/>
        <v>3.8300000000000001E-2</v>
      </c>
    </row>
    <row r="24" spans="1:8">
      <c r="A24" s="162">
        <v>25000</v>
      </c>
      <c r="B24" s="163">
        <f t="shared" si="2"/>
        <v>-0.35</v>
      </c>
      <c r="C24" s="147">
        <f t="shared" si="3"/>
        <v>-4200</v>
      </c>
      <c r="D24" s="164">
        <f t="shared" si="4"/>
        <v>-5110</v>
      </c>
      <c r="E24" s="165">
        <f t="shared" si="8"/>
        <v>910</v>
      </c>
      <c r="F24" s="166">
        <f t="shared" si="9"/>
        <v>-4200</v>
      </c>
      <c r="G24" s="171">
        <f t="shared" si="6"/>
        <v>-0.16800000000000001</v>
      </c>
      <c r="H24" s="171">
        <f t="shared" si="7"/>
        <v>3.6400000000000002E-2</v>
      </c>
    </row>
    <row r="25" spans="1:8">
      <c r="A25" s="162">
        <v>27000</v>
      </c>
      <c r="B25" s="163">
        <f t="shared" si="2"/>
        <v>-0.35</v>
      </c>
      <c r="C25" s="147">
        <f t="shared" si="3"/>
        <v>-4900</v>
      </c>
      <c r="D25" s="164">
        <f t="shared" si="4"/>
        <v>-5974.29</v>
      </c>
      <c r="E25" s="165">
        <f t="shared" si="8"/>
        <v>1074.29</v>
      </c>
      <c r="F25" s="166">
        <f t="shared" si="9"/>
        <v>-4900</v>
      </c>
      <c r="G25" s="171">
        <f t="shared" si="6"/>
        <v>-0.18149999999999999</v>
      </c>
      <c r="H25" s="171">
        <f t="shared" si="7"/>
        <v>3.9800000000000002E-2</v>
      </c>
    </row>
    <row r="26" spans="1:8">
      <c r="A26" s="162">
        <v>29000</v>
      </c>
      <c r="B26" s="163">
        <f t="shared" si="2"/>
        <v>-0.35</v>
      </c>
      <c r="C26" s="147">
        <f t="shared" si="3"/>
        <v>-5600</v>
      </c>
      <c r="D26" s="164">
        <f t="shared" si="4"/>
        <v>-6838.57</v>
      </c>
      <c r="E26" s="165">
        <f t="shared" si="8"/>
        <v>1238.5699999999997</v>
      </c>
      <c r="F26" s="166">
        <f t="shared" si="9"/>
        <v>-5600</v>
      </c>
      <c r="G26" s="171">
        <f t="shared" si="6"/>
        <v>-0.19309999999999999</v>
      </c>
      <c r="H26" s="171">
        <f t="shared" si="7"/>
        <v>4.2700000000000002E-2</v>
      </c>
    </row>
    <row r="27" spans="1:8">
      <c r="A27" s="162">
        <v>31000</v>
      </c>
      <c r="B27" s="163">
        <f t="shared" si="2"/>
        <v>-0.35</v>
      </c>
      <c r="C27" s="147">
        <f t="shared" si="3"/>
        <v>-6300</v>
      </c>
      <c r="D27" s="164">
        <f t="shared" si="4"/>
        <v>-7702.86</v>
      </c>
      <c r="E27" s="165">
        <f t="shared" si="8"/>
        <v>1402.8599999999997</v>
      </c>
      <c r="F27" s="166">
        <f t="shared" si="9"/>
        <v>-6300</v>
      </c>
      <c r="G27" s="171">
        <f t="shared" si="6"/>
        <v>-0.20319999999999999</v>
      </c>
      <c r="H27" s="171">
        <f t="shared" si="7"/>
        <v>4.53E-2</v>
      </c>
    </row>
    <row r="28" spans="1:8">
      <c r="A28" s="162">
        <v>32000</v>
      </c>
      <c r="B28" s="163">
        <f t="shared" si="2"/>
        <v>-0.42</v>
      </c>
      <c r="C28" s="147">
        <f t="shared" si="3"/>
        <v>-6720</v>
      </c>
      <c r="D28" s="164">
        <f t="shared" si="4"/>
        <v>-8135</v>
      </c>
      <c r="E28" s="165">
        <f t="shared" si="8"/>
        <v>1415</v>
      </c>
      <c r="F28" s="166">
        <f t="shared" si="9"/>
        <v>-6720</v>
      </c>
      <c r="G28" s="171">
        <f t="shared" si="6"/>
        <v>-0.21</v>
      </c>
      <c r="H28" s="171">
        <f t="shared" si="7"/>
        <v>4.4200000000000003E-2</v>
      </c>
    </row>
    <row r="29" spans="1:8">
      <c r="A29" s="162">
        <v>34000</v>
      </c>
      <c r="B29" s="163">
        <f t="shared" si="2"/>
        <v>-0.42</v>
      </c>
      <c r="C29" s="147">
        <f t="shared" si="3"/>
        <v>-7560</v>
      </c>
      <c r="D29" s="164">
        <f t="shared" si="4"/>
        <v>-8999.2900000000009</v>
      </c>
      <c r="E29" s="165">
        <f t="shared" si="8"/>
        <v>1439.2900000000009</v>
      </c>
      <c r="F29" s="166">
        <f t="shared" si="9"/>
        <v>-7560</v>
      </c>
      <c r="G29" s="171">
        <f t="shared" si="6"/>
        <v>-0.22239999999999999</v>
      </c>
      <c r="H29" s="171">
        <f t="shared" si="7"/>
        <v>4.2299999999999997E-2</v>
      </c>
    </row>
    <row r="30" spans="1:8">
      <c r="A30" s="162">
        <v>36000</v>
      </c>
      <c r="B30" s="163">
        <f t="shared" si="2"/>
        <v>-0.42</v>
      </c>
      <c r="C30" s="147">
        <f t="shared" si="3"/>
        <v>-8400</v>
      </c>
      <c r="D30" s="164">
        <f t="shared" si="4"/>
        <v>-9863.57</v>
      </c>
      <c r="E30" s="165">
        <f t="shared" si="8"/>
        <v>1463.5699999999997</v>
      </c>
      <c r="F30" s="166">
        <f t="shared" si="9"/>
        <v>-8400</v>
      </c>
      <c r="G30" s="171">
        <f t="shared" si="6"/>
        <v>-0.23330000000000001</v>
      </c>
      <c r="H30" s="171">
        <f t="shared" si="7"/>
        <v>4.07E-2</v>
      </c>
    </row>
    <row r="31" spans="1:8">
      <c r="A31" s="162">
        <v>38000</v>
      </c>
      <c r="B31" s="163">
        <f t="shared" si="2"/>
        <v>-0.42</v>
      </c>
      <c r="C31" s="147">
        <f t="shared" si="3"/>
        <v>-9240</v>
      </c>
      <c r="D31" s="164">
        <f t="shared" si="4"/>
        <v>-10727.86</v>
      </c>
      <c r="E31" s="165">
        <f t="shared" si="8"/>
        <v>1487.8600000000006</v>
      </c>
      <c r="F31" s="166">
        <f t="shared" si="9"/>
        <v>-9240</v>
      </c>
      <c r="G31" s="171">
        <f t="shared" si="6"/>
        <v>-0.2432</v>
      </c>
      <c r="H31" s="171">
        <f t="shared" si="7"/>
        <v>3.9199999999999999E-2</v>
      </c>
    </row>
    <row r="32" spans="1:8" s="167" customFormat="1">
      <c r="A32" s="162">
        <v>40000</v>
      </c>
      <c r="B32" s="163">
        <f t="shared" si="2"/>
        <v>-0.42</v>
      </c>
      <c r="C32" s="147">
        <f t="shared" si="3"/>
        <v>-10080</v>
      </c>
      <c r="D32" s="164">
        <f t="shared" si="4"/>
        <v>-11592.14</v>
      </c>
      <c r="E32" s="165">
        <f t="shared" si="8"/>
        <v>1512.1399999999994</v>
      </c>
      <c r="F32" s="166">
        <f t="shared" si="9"/>
        <v>-10080</v>
      </c>
      <c r="G32" s="171">
        <f t="shared" si="6"/>
        <v>-0.252</v>
      </c>
      <c r="H32" s="171">
        <f t="shared" si="7"/>
        <v>3.78E-2</v>
      </c>
    </row>
    <row r="33" spans="1:8" s="167" customFormat="1">
      <c r="A33" s="162">
        <v>45000</v>
      </c>
      <c r="B33" s="163">
        <f t="shared" si="2"/>
        <v>-0.42</v>
      </c>
      <c r="C33" s="147">
        <f t="shared" si="3"/>
        <v>-12180</v>
      </c>
      <c r="D33" s="164">
        <f t="shared" si="4"/>
        <v>-13752.86</v>
      </c>
      <c r="E33" s="165">
        <f t="shared" si="8"/>
        <v>1572.8600000000006</v>
      </c>
      <c r="F33" s="166">
        <f t="shared" si="9"/>
        <v>-12180</v>
      </c>
      <c r="G33" s="171">
        <f t="shared" si="6"/>
        <v>-0.2707</v>
      </c>
      <c r="H33" s="171">
        <f t="shared" si="7"/>
        <v>3.5000000000000003E-2</v>
      </c>
    </row>
    <row r="34" spans="1:8" s="167" customFormat="1">
      <c r="A34" s="162">
        <v>50000</v>
      </c>
      <c r="B34" s="163">
        <f t="shared" si="2"/>
        <v>-0.42</v>
      </c>
      <c r="C34" s="147">
        <f t="shared" si="3"/>
        <v>-14280</v>
      </c>
      <c r="D34" s="164">
        <f t="shared" si="4"/>
        <v>-15913.57</v>
      </c>
      <c r="E34" s="165">
        <f t="shared" si="8"/>
        <v>1633.5699999999997</v>
      </c>
      <c r="F34" s="166">
        <f t="shared" si="9"/>
        <v>-14280</v>
      </c>
      <c r="G34" s="171">
        <f t="shared" si="6"/>
        <v>-0.28560000000000002</v>
      </c>
      <c r="H34" s="171">
        <f t="shared" si="7"/>
        <v>3.27E-2</v>
      </c>
    </row>
    <row r="35" spans="1:8" s="167" customFormat="1">
      <c r="A35" s="162">
        <v>55000</v>
      </c>
      <c r="B35" s="163">
        <f t="shared" si="2"/>
        <v>-0.42</v>
      </c>
      <c r="C35" s="147">
        <f t="shared" si="3"/>
        <v>-16380</v>
      </c>
      <c r="D35" s="164">
        <f t="shared" si="4"/>
        <v>-18074.29</v>
      </c>
      <c r="E35" s="165">
        <f t="shared" si="8"/>
        <v>1694.2900000000009</v>
      </c>
      <c r="F35" s="166">
        <f t="shared" si="9"/>
        <v>-16380</v>
      </c>
      <c r="G35" s="171">
        <f t="shared" si="6"/>
        <v>-0.29780000000000001</v>
      </c>
      <c r="H35" s="171">
        <f t="shared" si="7"/>
        <v>3.0800000000000001E-2</v>
      </c>
    </row>
    <row r="36" spans="1:8" s="167" customFormat="1">
      <c r="A36" s="162">
        <v>60000</v>
      </c>
      <c r="B36" s="163">
        <f t="shared" si="2"/>
        <v>-0.42</v>
      </c>
      <c r="C36" s="147">
        <f t="shared" si="3"/>
        <v>-18480</v>
      </c>
      <c r="D36" s="164">
        <f t="shared" si="4"/>
        <v>-20235</v>
      </c>
      <c r="E36" s="165">
        <f t="shared" si="8"/>
        <v>1755</v>
      </c>
      <c r="F36" s="166">
        <f t="shared" si="9"/>
        <v>-18480</v>
      </c>
      <c r="G36" s="171">
        <f t="shared" si="6"/>
        <v>-0.308</v>
      </c>
      <c r="H36" s="171">
        <f t="shared" si="7"/>
        <v>2.93E-2</v>
      </c>
    </row>
    <row r="37" spans="1:8" s="167" customFormat="1">
      <c r="A37" s="162">
        <v>65000</v>
      </c>
      <c r="B37" s="163">
        <f t="shared" si="2"/>
        <v>-0.48</v>
      </c>
      <c r="C37" s="147">
        <f t="shared" si="3"/>
        <v>-20880</v>
      </c>
      <c r="D37" s="164">
        <f t="shared" si="4"/>
        <v>-22735</v>
      </c>
      <c r="E37" s="165">
        <f t="shared" si="8"/>
        <v>1855</v>
      </c>
      <c r="F37" s="166">
        <f t="shared" si="9"/>
        <v>-20880</v>
      </c>
      <c r="G37" s="171">
        <f t="shared" si="6"/>
        <v>-0.32119999999999999</v>
      </c>
      <c r="H37" s="171">
        <f t="shared" si="7"/>
        <v>2.8500000000000001E-2</v>
      </c>
    </row>
    <row r="38" spans="1:8" s="167" customFormat="1">
      <c r="A38" s="162">
        <v>70000</v>
      </c>
      <c r="B38" s="163">
        <f t="shared" si="2"/>
        <v>-0.48</v>
      </c>
      <c r="C38" s="147">
        <f t="shared" si="3"/>
        <v>-23280</v>
      </c>
      <c r="D38" s="164">
        <f t="shared" si="4"/>
        <v>-25235</v>
      </c>
      <c r="E38" s="165">
        <f t="shared" si="8"/>
        <v>1955</v>
      </c>
      <c r="F38" s="166">
        <f t="shared" si="9"/>
        <v>-23280</v>
      </c>
      <c r="G38" s="171">
        <f t="shared" si="6"/>
        <v>-0.33260000000000001</v>
      </c>
      <c r="H38" s="171">
        <f t="shared" si="7"/>
        <v>2.7900000000000001E-2</v>
      </c>
    </row>
    <row r="39" spans="1:8" s="167" customFormat="1">
      <c r="A39" s="162">
        <v>75000</v>
      </c>
      <c r="B39" s="163">
        <f t="shared" si="2"/>
        <v>-0.48</v>
      </c>
      <c r="C39" s="147">
        <f t="shared" si="3"/>
        <v>-25680</v>
      </c>
      <c r="D39" s="164">
        <f t="shared" si="4"/>
        <v>-27735</v>
      </c>
      <c r="E39" s="165">
        <f t="shared" si="8"/>
        <v>2055</v>
      </c>
      <c r="F39" s="166">
        <f t="shared" si="9"/>
        <v>-25680</v>
      </c>
      <c r="G39" s="171">
        <f t="shared" si="6"/>
        <v>-0.34239999999999998</v>
      </c>
      <c r="H39" s="171">
        <f t="shared" si="7"/>
        <v>2.7400000000000001E-2</v>
      </c>
    </row>
    <row r="40" spans="1:8" s="167" customFormat="1">
      <c r="A40" s="162">
        <v>80000</v>
      </c>
      <c r="B40" s="163">
        <f t="shared" si="2"/>
        <v>-0.48</v>
      </c>
      <c r="C40" s="147">
        <f t="shared" si="3"/>
        <v>-28080</v>
      </c>
      <c r="D40" s="164">
        <f t="shared" si="4"/>
        <v>-30235</v>
      </c>
      <c r="E40" s="165">
        <f t="shared" si="8"/>
        <v>2155</v>
      </c>
      <c r="F40" s="166">
        <f t="shared" si="9"/>
        <v>-28080</v>
      </c>
      <c r="G40" s="171">
        <f t="shared" si="6"/>
        <v>-0.35099999999999998</v>
      </c>
      <c r="H40" s="171">
        <f t="shared" si="7"/>
        <v>2.69E-2</v>
      </c>
    </row>
    <row r="41" spans="1:8" s="167" customFormat="1">
      <c r="A41" s="162">
        <v>85000</v>
      </c>
      <c r="B41" s="163">
        <f t="shared" si="2"/>
        <v>-0.48</v>
      </c>
      <c r="C41" s="147">
        <f t="shared" si="3"/>
        <v>-30480</v>
      </c>
      <c r="D41" s="164">
        <f t="shared" si="4"/>
        <v>-32735</v>
      </c>
      <c r="E41" s="165">
        <f t="shared" si="8"/>
        <v>2255</v>
      </c>
      <c r="F41" s="166">
        <f t="shared" si="9"/>
        <v>-30480</v>
      </c>
      <c r="G41" s="171">
        <f t="shared" si="6"/>
        <v>-0.35859999999999997</v>
      </c>
      <c r="H41" s="171">
        <f t="shared" si="7"/>
        <v>2.6499999999999999E-2</v>
      </c>
    </row>
    <row r="42" spans="1:8" s="167" customFormat="1">
      <c r="A42" s="162">
        <v>90000</v>
      </c>
      <c r="B42" s="163">
        <f t="shared" si="2"/>
        <v>-0.48</v>
      </c>
      <c r="C42" s="147">
        <f t="shared" si="3"/>
        <v>-32880</v>
      </c>
      <c r="D42" s="164">
        <f t="shared" si="4"/>
        <v>-35235</v>
      </c>
      <c r="E42" s="165">
        <f t="shared" si="8"/>
        <v>2355</v>
      </c>
      <c r="F42" s="166">
        <f t="shared" si="9"/>
        <v>-32880</v>
      </c>
      <c r="G42" s="171">
        <f t="shared" si="6"/>
        <v>-0.36530000000000001</v>
      </c>
      <c r="H42" s="171">
        <f t="shared" si="7"/>
        <v>2.6200000000000001E-2</v>
      </c>
    </row>
    <row r="43" spans="1:8">
      <c r="A43" s="162">
        <v>95000</v>
      </c>
      <c r="B43" s="163">
        <f t="shared" si="2"/>
        <v>-0.5</v>
      </c>
      <c r="C43" s="147">
        <f t="shared" si="3"/>
        <v>-35380</v>
      </c>
      <c r="D43" s="164">
        <f t="shared" si="4"/>
        <v>-37735</v>
      </c>
      <c r="E43" s="165">
        <f t="shared" si="8"/>
        <v>2355</v>
      </c>
      <c r="F43" s="166">
        <f t="shared" si="9"/>
        <v>-35380</v>
      </c>
      <c r="G43" s="171">
        <f t="shared" si="6"/>
        <v>-0.37240000000000001</v>
      </c>
      <c r="H43" s="171">
        <f t="shared" si="7"/>
        <v>2.4799999999999999E-2</v>
      </c>
    </row>
    <row r="44" spans="1:8">
      <c r="A44" s="162">
        <v>100000</v>
      </c>
      <c r="B44" s="163">
        <f t="shared" si="2"/>
        <v>-0.5</v>
      </c>
      <c r="C44" s="147">
        <f t="shared" si="3"/>
        <v>-37880</v>
      </c>
      <c r="D44" s="164">
        <f t="shared" si="4"/>
        <v>-40235</v>
      </c>
      <c r="E44" s="165">
        <f t="shared" si="8"/>
        <v>2355</v>
      </c>
      <c r="F44" s="166">
        <f t="shared" si="9"/>
        <v>-37880</v>
      </c>
      <c r="G44" s="171">
        <f t="shared" ref="G44:G74" si="10">ROUND(C44/A44,4)</f>
        <v>-0.37880000000000003</v>
      </c>
      <c r="H44" s="171">
        <f t="shared" ref="H44:H74" si="11">ROUND(E44/A44,4)</f>
        <v>2.3599999999999999E-2</v>
      </c>
    </row>
    <row r="45" spans="1:8">
      <c r="A45" s="162">
        <v>200000</v>
      </c>
      <c r="B45" s="163">
        <f t="shared" si="2"/>
        <v>-0.5</v>
      </c>
      <c r="C45" s="147">
        <f t="shared" si="3"/>
        <v>-87880</v>
      </c>
      <c r="D45" s="164">
        <f t="shared" si="4"/>
        <v>-90235</v>
      </c>
      <c r="E45" s="165">
        <f t="shared" si="8"/>
        <v>2355</v>
      </c>
      <c r="F45" s="166">
        <f t="shared" si="9"/>
        <v>-87880</v>
      </c>
      <c r="G45" s="171">
        <f t="shared" si="10"/>
        <v>-0.43940000000000001</v>
      </c>
      <c r="H45" s="171">
        <f t="shared" si="11"/>
        <v>1.18E-2</v>
      </c>
    </row>
    <row r="46" spans="1:8">
      <c r="A46" s="162">
        <v>300000</v>
      </c>
      <c r="B46" s="163">
        <f t="shared" si="2"/>
        <v>-0.5</v>
      </c>
      <c r="C46" s="147">
        <f t="shared" si="3"/>
        <v>-137880</v>
      </c>
      <c r="D46" s="164">
        <f t="shared" si="4"/>
        <v>-140235</v>
      </c>
      <c r="E46" s="165">
        <f t="shared" si="8"/>
        <v>2355</v>
      </c>
      <c r="F46" s="166">
        <f t="shared" si="9"/>
        <v>-137880</v>
      </c>
      <c r="G46" s="171">
        <f t="shared" si="10"/>
        <v>-0.45960000000000001</v>
      </c>
      <c r="H46" s="171">
        <f t="shared" si="11"/>
        <v>7.9000000000000008E-3</v>
      </c>
    </row>
    <row r="47" spans="1:8">
      <c r="A47" s="162">
        <v>400000</v>
      </c>
      <c r="B47" s="163">
        <f t="shared" si="2"/>
        <v>-0.5</v>
      </c>
      <c r="C47" s="147">
        <f t="shared" si="3"/>
        <v>-187880</v>
      </c>
      <c r="D47" s="164">
        <f t="shared" si="4"/>
        <v>-190235</v>
      </c>
      <c r="E47" s="165">
        <f t="shared" si="8"/>
        <v>2355</v>
      </c>
      <c r="F47" s="166">
        <f t="shared" si="9"/>
        <v>-187880</v>
      </c>
      <c r="G47" s="171">
        <f t="shared" si="10"/>
        <v>-0.46970000000000001</v>
      </c>
      <c r="H47" s="171">
        <f t="shared" si="11"/>
        <v>5.8999999999999999E-3</v>
      </c>
    </row>
    <row r="48" spans="1:8">
      <c r="A48" s="162">
        <v>500000</v>
      </c>
      <c r="B48" s="163">
        <f t="shared" si="2"/>
        <v>-0.5</v>
      </c>
      <c r="C48" s="147">
        <f t="shared" si="3"/>
        <v>-237880</v>
      </c>
      <c r="D48" s="164">
        <f t="shared" si="4"/>
        <v>-240235</v>
      </c>
      <c r="E48" s="165">
        <f t="shared" si="8"/>
        <v>2355</v>
      </c>
      <c r="F48" s="166">
        <f t="shared" si="9"/>
        <v>-237880</v>
      </c>
      <c r="G48" s="171">
        <f t="shared" si="10"/>
        <v>-0.4758</v>
      </c>
      <c r="H48" s="171">
        <f t="shared" si="11"/>
        <v>4.7000000000000002E-3</v>
      </c>
    </row>
    <row r="49" spans="1:8">
      <c r="A49" s="162">
        <v>600000</v>
      </c>
      <c r="B49" s="163">
        <f t="shared" si="2"/>
        <v>-0.5</v>
      </c>
      <c r="C49" s="147">
        <f t="shared" si="3"/>
        <v>-287880</v>
      </c>
      <c r="D49" s="164">
        <f t="shared" si="4"/>
        <v>-290235</v>
      </c>
      <c r="E49" s="165">
        <f t="shared" si="8"/>
        <v>2355</v>
      </c>
      <c r="F49" s="166">
        <f t="shared" si="9"/>
        <v>-287880</v>
      </c>
      <c r="G49" s="171">
        <f t="shared" si="10"/>
        <v>-0.4798</v>
      </c>
      <c r="H49" s="171">
        <f t="shared" si="11"/>
        <v>3.8999999999999998E-3</v>
      </c>
    </row>
    <row r="50" spans="1:8">
      <c r="A50" s="162">
        <v>700000</v>
      </c>
      <c r="B50" s="163">
        <f t="shared" si="2"/>
        <v>-0.5</v>
      </c>
      <c r="C50" s="147">
        <f t="shared" si="3"/>
        <v>-337880</v>
      </c>
      <c r="D50" s="164">
        <f t="shared" si="4"/>
        <v>-340235</v>
      </c>
      <c r="E50" s="165">
        <f t="shared" si="8"/>
        <v>2355</v>
      </c>
      <c r="F50" s="166">
        <f t="shared" si="9"/>
        <v>-337880</v>
      </c>
      <c r="G50" s="171">
        <f t="shared" si="10"/>
        <v>-0.48270000000000002</v>
      </c>
      <c r="H50" s="171">
        <f t="shared" si="11"/>
        <v>3.3999999999999998E-3</v>
      </c>
    </row>
    <row r="51" spans="1:8">
      <c r="A51" s="162">
        <v>800000</v>
      </c>
      <c r="B51" s="163">
        <f t="shared" si="2"/>
        <v>-0.5</v>
      </c>
      <c r="C51" s="147">
        <f t="shared" si="3"/>
        <v>-387880</v>
      </c>
      <c r="D51" s="164">
        <f t="shared" si="4"/>
        <v>-390235</v>
      </c>
      <c r="E51" s="165">
        <f t="shared" si="8"/>
        <v>2355</v>
      </c>
      <c r="F51" s="166">
        <f t="shared" si="9"/>
        <v>-387880</v>
      </c>
      <c r="G51" s="171">
        <f t="shared" si="10"/>
        <v>-0.4849</v>
      </c>
      <c r="H51" s="171">
        <f t="shared" si="11"/>
        <v>2.8999999999999998E-3</v>
      </c>
    </row>
    <row r="52" spans="1:8">
      <c r="A52" s="162">
        <v>900000</v>
      </c>
      <c r="B52" s="163">
        <f t="shared" si="2"/>
        <v>-0.5</v>
      </c>
      <c r="C52" s="147">
        <f t="shared" si="3"/>
        <v>-437880</v>
      </c>
      <c r="D52" s="164">
        <f t="shared" si="4"/>
        <v>-440235</v>
      </c>
      <c r="E52" s="165">
        <f t="shared" si="8"/>
        <v>2355</v>
      </c>
      <c r="F52" s="166">
        <f t="shared" si="9"/>
        <v>-437880</v>
      </c>
      <c r="G52" s="171">
        <f t="shared" si="10"/>
        <v>-0.48649999999999999</v>
      </c>
      <c r="H52" s="171">
        <f t="shared" si="11"/>
        <v>2.5999999999999999E-3</v>
      </c>
    </row>
    <row r="53" spans="1:8">
      <c r="A53" s="162">
        <v>1000000</v>
      </c>
      <c r="B53" s="163">
        <f t="shared" si="2"/>
        <v>-0.5</v>
      </c>
      <c r="C53" s="147">
        <f t="shared" si="3"/>
        <v>-487880</v>
      </c>
      <c r="D53" s="164">
        <f t="shared" si="4"/>
        <v>-490235</v>
      </c>
      <c r="E53" s="165">
        <f t="shared" si="8"/>
        <v>2355</v>
      </c>
      <c r="F53" s="166">
        <f t="shared" si="9"/>
        <v>-487880</v>
      </c>
      <c r="G53" s="171">
        <f t="shared" si="10"/>
        <v>-0.4879</v>
      </c>
      <c r="H53" s="171">
        <f t="shared" si="11"/>
        <v>2.3999999999999998E-3</v>
      </c>
    </row>
    <row r="54" spans="1:8">
      <c r="A54" s="162">
        <v>1010000</v>
      </c>
      <c r="B54" s="163">
        <f t="shared" si="2"/>
        <v>-0.55000000000000004</v>
      </c>
      <c r="C54" s="147">
        <f t="shared" si="3"/>
        <v>-493380</v>
      </c>
      <c r="D54" s="164">
        <f t="shared" si="4"/>
        <v>-495235</v>
      </c>
      <c r="E54" s="165">
        <f t="shared" si="8"/>
        <v>1855</v>
      </c>
      <c r="F54" s="166">
        <f t="shared" si="9"/>
        <v>-493380</v>
      </c>
      <c r="G54" s="171">
        <f t="shared" si="10"/>
        <v>-0.48849999999999999</v>
      </c>
      <c r="H54" s="171">
        <f t="shared" si="11"/>
        <v>1.8E-3</v>
      </c>
    </row>
    <row r="55" spans="1:8">
      <c r="A55" s="162">
        <v>1020000</v>
      </c>
      <c r="B55" s="163">
        <f t="shared" si="2"/>
        <v>-0.55000000000000004</v>
      </c>
      <c r="C55" s="147">
        <f t="shared" si="3"/>
        <v>-498880</v>
      </c>
      <c r="D55" s="164">
        <f t="shared" si="4"/>
        <v>-500235</v>
      </c>
      <c r="E55" s="165">
        <f t="shared" si="8"/>
        <v>1355</v>
      </c>
      <c r="F55" s="166">
        <f t="shared" si="9"/>
        <v>-498880</v>
      </c>
      <c r="G55" s="171">
        <f t="shared" si="10"/>
        <v>-0.48909999999999998</v>
      </c>
      <c r="H55" s="171">
        <f t="shared" si="11"/>
        <v>1.2999999999999999E-3</v>
      </c>
    </row>
    <row r="56" spans="1:8">
      <c r="A56" s="162">
        <v>1030000</v>
      </c>
      <c r="B56" s="163">
        <f t="shared" si="2"/>
        <v>-0.55000000000000004</v>
      </c>
      <c r="C56" s="147">
        <f t="shared" si="3"/>
        <v>-504380</v>
      </c>
      <c r="D56" s="164">
        <f t="shared" si="4"/>
        <v>-505235</v>
      </c>
      <c r="E56" s="165">
        <f t="shared" si="8"/>
        <v>855</v>
      </c>
      <c r="F56" s="166">
        <f t="shared" si="9"/>
        <v>-504380</v>
      </c>
      <c r="G56" s="171">
        <f t="shared" si="10"/>
        <v>-0.48970000000000002</v>
      </c>
      <c r="H56" s="171">
        <f t="shared" si="11"/>
        <v>8.0000000000000004E-4</v>
      </c>
    </row>
    <row r="57" spans="1:8">
      <c r="A57" s="162">
        <v>1040000</v>
      </c>
      <c r="B57" s="163">
        <f t="shared" si="2"/>
        <v>-0.55000000000000004</v>
      </c>
      <c r="C57" s="147">
        <f t="shared" si="3"/>
        <v>-509880</v>
      </c>
      <c r="D57" s="164">
        <f t="shared" si="4"/>
        <v>-510235</v>
      </c>
      <c r="E57" s="165">
        <f t="shared" si="8"/>
        <v>355</v>
      </c>
      <c r="F57" s="166">
        <f t="shared" si="9"/>
        <v>-509880</v>
      </c>
      <c r="G57" s="171">
        <f t="shared" si="10"/>
        <v>-0.49030000000000001</v>
      </c>
      <c r="H57" s="171">
        <f t="shared" si="11"/>
        <v>2.9999999999999997E-4</v>
      </c>
    </row>
    <row r="58" spans="1:8">
      <c r="A58" s="162">
        <v>1047100</v>
      </c>
      <c r="B58" s="163">
        <f t="shared" si="2"/>
        <v>-0.55000000000000004</v>
      </c>
      <c r="C58" s="147">
        <f t="shared" si="3"/>
        <v>-513785</v>
      </c>
      <c r="D58" s="164">
        <f t="shared" si="4"/>
        <v>-513785</v>
      </c>
      <c r="E58" s="165">
        <f t="shared" si="8"/>
        <v>0</v>
      </c>
      <c r="F58" s="166">
        <f t="shared" si="9"/>
        <v>-513785</v>
      </c>
      <c r="G58" s="171">
        <f t="shared" si="10"/>
        <v>-0.49070000000000003</v>
      </c>
      <c r="H58" s="171">
        <f t="shared" si="11"/>
        <v>0</v>
      </c>
    </row>
    <row r="59" spans="1:8">
      <c r="A59" s="162">
        <v>1050000</v>
      </c>
      <c r="B59" s="163">
        <f t="shared" si="2"/>
        <v>-0.55000000000000004</v>
      </c>
      <c r="C59" s="147">
        <f t="shared" si="3"/>
        <v>-515380</v>
      </c>
      <c r="D59" s="164">
        <f t="shared" si="4"/>
        <v>-515235</v>
      </c>
      <c r="E59" s="165">
        <f t="shared" si="8"/>
        <v>-145</v>
      </c>
      <c r="F59" s="166">
        <f t="shared" si="9"/>
        <v>-515380</v>
      </c>
      <c r="G59" s="171">
        <f t="shared" si="10"/>
        <v>-0.49080000000000001</v>
      </c>
      <c r="H59" s="171">
        <f t="shared" si="11"/>
        <v>-1E-4</v>
      </c>
    </row>
    <row r="60" spans="1:8">
      <c r="A60" s="162">
        <v>1060000</v>
      </c>
      <c r="B60" s="163">
        <f t="shared" si="2"/>
        <v>-0.55000000000000004</v>
      </c>
      <c r="C60" s="147">
        <f t="shared" si="3"/>
        <v>-520880</v>
      </c>
      <c r="D60" s="164">
        <f t="shared" si="4"/>
        <v>-520235</v>
      </c>
      <c r="E60" s="165">
        <f t="shared" si="8"/>
        <v>-645</v>
      </c>
      <c r="F60" s="166">
        <f t="shared" si="9"/>
        <v>-520880</v>
      </c>
      <c r="G60" s="171">
        <f t="shared" si="10"/>
        <v>-0.4914</v>
      </c>
      <c r="H60" s="171">
        <f t="shared" si="11"/>
        <v>-5.9999999999999995E-4</v>
      </c>
    </row>
    <row r="61" spans="1:8">
      <c r="A61" s="162">
        <v>1070000</v>
      </c>
      <c r="B61" s="163">
        <f t="shared" si="2"/>
        <v>-0.55000000000000004</v>
      </c>
      <c r="C61" s="147">
        <f t="shared" si="3"/>
        <v>-526380</v>
      </c>
      <c r="D61" s="164">
        <f t="shared" si="4"/>
        <v>-525235</v>
      </c>
      <c r="E61" s="165">
        <f t="shared" si="8"/>
        <v>-1145</v>
      </c>
      <c r="F61" s="166">
        <f t="shared" si="9"/>
        <v>-526380</v>
      </c>
      <c r="G61" s="171">
        <f t="shared" si="10"/>
        <v>-0.4919</v>
      </c>
      <c r="H61" s="171">
        <f t="shared" si="11"/>
        <v>-1.1000000000000001E-3</v>
      </c>
    </row>
    <row r="62" spans="1:8">
      <c r="A62" s="162">
        <v>1080000</v>
      </c>
      <c r="B62" s="163">
        <f t="shared" si="2"/>
        <v>-0.55000000000000004</v>
      </c>
      <c r="C62" s="147">
        <f t="shared" si="3"/>
        <v>-531880</v>
      </c>
      <c r="D62" s="164">
        <f t="shared" si="4"/>
        <v>-530235</v>
      </c>
      <c r="E62" s="165">
        <f t="shared" si="8"/>
        <v>-1645</v>
      </c>
      <c r="F62" s="166">
        <f t="shared" si="9"/>
        <v>-531880</v>
      </c>
      <c r="G62" s="171">
        <f t="shared" si="10"/>
        <v>-0.49249999999999999</v>
      </c>
      <c r="H62" s="171">
        <f t="shared" si="11"/>
        <v>-1.5E-3</v>
      </c>
    </row>
    <row r="63" spans="1:8">
      <c r="A63" s="162">
        <v>1090000</v>
      </c>
      <c r="B63" s="163">
        <f t="shared" si="2"/>
        <v>-0.55000000000000004</v>
      </c>
      <c r="C63" s="147">
        <f t="shared" si="3"/>
        <v>-537380</v>
      </c>
      <c r="D63" s="164">
        <f t="shared" si="4"/>
        <v>-535235</v>
      </c>
      <c r="E63" s="165">
        <f t="shared" si="8"/>
        <v>-2145</v>
      </c>
      <c r="F63" s="166">
        <f t="shared" si="9"/>
        <v>-537380</v>
      </c>
      <c r="G63" s="171">
        <f t="shared" si="10"/>
        <v>-0.49299999999999999</v>
      </c>
      <c r="H63" s="171">
        <f t="shared" si="11"/>
        <v>-2E-3</v>
      </c>
    </row>
    <row r="64" spans="1:8">
      <c r="A64" s="162">
        <v>1100000</v>
      </c>
      <c r="B64" s="163">
        <f t="shared" si="2"/>
        <v>-0.55000000000000004</v>
      </c>
      <c r="C64" s="147">
        <f t="shared" si="3"/>
        <v>-542880</v>
      </c>
      <c r="D64" s="164">
        <f t="shared" si="4"/>
        <v>-540235</v>
      </c>
      <c r="E64" s="165">
        <f t="shared" si="8"/>
        <v>-2645</v>
      </c>
      <c r="F64" s="166">
        <f t="shared" si="9"/>
        <v>-542880</v>
      </c>
      <c r="G64" s="171">
        <f t="shared" si="10"/>
        <v>-0.49349999999999999</v>
      </c>
      <c r="H64" s="171">
        <f t="shared" si="11"/>
        <v>-2.3999999999999998E-3</v>
      </c>
    </row>
    <row r="65" spans="1:8">
      <c r="A65" s="162">
        <v>1150000</v>
      </c>
      <c r="B65" s="163">
        <f t="shared" si="2"/>
        <v>-0.55000000000000004</v>
      </c>
      <c r="C65" s="147">
        <f t="shared" si="3"/>
        <v>-570380</v>
      </c>
      <c r="D65" s="164">
        <f t="shared" si="4"/>
        <v>-565235</v>
      </c>
      <c r="E65" s="165">
        <f t="shared" si="8"/>
        <v>-5145</v>
      </c>
      <c r="F65" s="166">
        <f t="shared" si="9"/>
        <v>-570380</v>
      </c>
      <c r="G65" s="171">
        <f t="shared" si="10"/>
        <v>-0.496</v>
      </c>
      <c r="H65" s="171">
        <f t="shared" si="11"/>
        <v>-4.4999999999999997E-3</v>
      </c>
    </row>
    <row r="66" spans="1:8">
      <c r="A66" s="162">
        <v>1200000</v>
      </c>
      <c r="B66" s="163">
        <f t="shared" si="2"/>
        <v>-0.55000000000000004</v>
      </c>
      <c r="C66" s="147">
        <f t="shared" si="3"/>
        <v>-597880</v>
      </c>
      <c r="D66" s="164">
        <f t="shared" si="4"/>
        <v>-590235</v>
      </c>
      <c r="E66" s="165">
        <f t="shared" si="8"/>
        <v>-7645</v>
      </c>
      <c r="F66" s="166">
        <f t="shared" si="9"/>
        <v>-597880</v>
      </c>
      <c r="G66" s="171">
        <f t="shared" si="10"/>
        <v>-0.49819999999999998</v>
      </c>
      <c r="H66" s="171">
        <f t="shared" si="11"/>
        <v>-6.4000000000000003E-3</v>
      </c>
    </row>
    <row r="67" spans="1:8">
      <c r="A67" s="162">
        <v>1300000</v>
      </c>
      <c r="B67" s="163">
        <f t="shared" si="2"/>
        <v>-0.55000000000000004</v>
      </c>
      <c r="C67" s="147">
        <f t="shared" si="3"/>
        <v>-652880</v>
      </c>
      <c r="D67" s="164">
        <f t="shared" si="4"/>
        <v>-640235</v>
      </c>
      <c r="E67" s="165">
        <f t="shared" si="8"/>
        <v>-12645</v>
      </c>
      <c r="F67" s="166">
        <f t="shared" si="9"/>
        <v>-652880</v>
      </c>
      <c r="G67" s="171">
        <f t="shared" si="10"/>
        <v>-0.50219999999999998</v>
      </c>
      <c r="H67" s="171">
        <f t="shared" si="11"/>
        <v>-9.7000000000000003E-3</v>
      </c>
    </row>
    <row r="68" spans="1:8">
      <c r="A68" s="162">
        <v>1400000</v>
      </c>
      <c r="B68" s="163">
        <f t="shared" si="2"/>
        <v>-0.55000000000000004</v>
      </c>
      <c r="C68" s="147">
        <f t="shared" si="3"/>
        <v>-707880</v>
      </c>
      <c r="D68" s="164">
        <f t="shared" si="4"/>
        <v>-690235</v>
      </c>
      <c r="E68" s="165">
        <f t="shared" si="8"/>
        <v>-17645</v>
      </c>
      <c r="F68" s="166">
        <f t="shared" si="9"/>
        <v>-707880</v>
      </c>
      <c r="G68" s="171">
        <f t="shared" si="10"/>
        <v>-0.50560000000000005</v>
      </c>
      <c r="H68" s="171">
        <f t="shared" si="11"/>
        <v>-1.26E-2</v>
      </c>
    </row>
    <row r="69" spans="1:8">
      <c r="A69" s="162">
        <v>1500000</v>
      </c>
      <c r="B69" s="163">
        <f t="shared" si="2"/>
        <v>-0.55000000000000004</v>
      </c>
      <c r="C69" s="147">
        <f t="shared" si="3"/>
        <v>-762880</v>
      </c>
      <c r="D69" s="164">
        <f t="shared" si="4"/>
        <v>-740235</v>
      </c>
      <c r="E69" s="165">
        <f t="shared" si="8"/>
        <v>-22645</v>
      </c>
      <c r="F69" s="166">
        <f t="shared" si="9"/>
        <v>-762880</v>
      </c>
      <c r="G69" s="171">
        <f t="shared" si="10"/>
        <v>-0.50860000000000005</v>
      </c>
      <c r="H69" s="171">
        <f t="shared" si="11"/>
        <v>-1.5100000000000001E-2</v>
      </c>
    </row>
    <row r="70" spans="1:8">
      <c r="A70" s="162">
        <v>1600000</v>
      </c>
      <c r="B70" s="163">
        <f t="shared" si="2"/>
        <v>-0.55000000000000004</v>
      </c>
      <c r="C70" s="147">
        <f t="shared" si="3"/>
        <v>-817880</v>
      </c>
      <c r="D70" s="164">
        <f t="shared" si="4"/>
        <v>-790235</v>
      </c>
      <c r="E70" s="165">
        <f t="shared" si="8"/>
        <v>-27645</v>
      </c>
      <c r="F70" s="166">
        <f t="shared" si="9"/>
        <v>-817880</v>
      </c>
      <c r="G70" s="171">
        <f t="shared" si="10"/>
        <v>-0.51119999999999999</v>
      </c>
      <c r="H70" s="171">
        <f t="shared" si="11"/>
        <v>-1.7299999999999999E-2</v>
      </c>
    </row>
    <row r="71" spans="1:8">
      <c r="A71" s="162">
        <v>1700000</v>
      </c>
      <c r="B71" s="163">
        <f t="shared" si="2"/>
        <v>-0.55000000000000004</v>
      </c>
      <c r="C71" s="147">
        <f t="shared" si="3"/>
        <v>-872880</v>
      </c>
      <c r="D71" s="164">
        <f t="shared" si="4"/>
        <v>-840235</v>
      </c>
      <c r="E71" s="165">
        <f t="shared" si="8"/>
        <v>-32645</v>
      </c>
      <c r="F71" s="166">
        <f t="shared" si="9"/>
        <v>-872880</v>
      </c>
      <c r="G71" s="171">
        <f t="shared" si="10"/>
        <v>-0.51349999999999996</v>
      </c>
      <c r="H71" s="171">
        <f t="shared" si="11"/>
        <v>-1.9199999999999998E-2</v>
      </c>
    </row>
    <row r="72" spans="1:8">
      <c r="A72" s="162">
        <v>1800000</v>
      </c>
      <c r="B72" s="163">
        <f t="shared" si="2"/>
        <v>-0.55000000000000004</v>
      </c>
      <c r="C72" s="147">
        <f t="shared" si="3"/>
        <v>-927880</v>
      </c>
      <c r="D72" s="164">
        <f t="shared" si="4"/>
        <v>-890235</v>
      </c>
      <c r="E72" s="165">
        <f t="shared" si="8"/>
        <v>-37645</v>
      </c>
      <c r="F72" s="166">
        <f t="shared" si="9"/>
        <v>-927880</v>
      </c>
      <c r="G72" s="171">
        <f t="shared" si="10"/>
        <v>-0.51549999999999996</v>
      </c>
      <c r="H72" s="171">
        <f t="shared" si="11"/>
        <v>-2.0899999999999998E-2</v>
      </c>
    </row>
    <row r="73" spans="1:8">
      <c r="A73" s="162">
        <v>1900000</v>
      </c>
      <c r="B73" s="163">
        <f t="shared" si="2"/>
        <v>-0.55000000000000004</v>
      </c>
      <c r="C73" s="147">
        <f t="shared" si="3"/>
        <v>-982880</v>
      </c>
      <c r="D73" s="164">
        <f t="shared" si="4"/>
        <v>-940235</v>
      </c>
      <c r="E73" s="165">
        <f t="shared" si="8"/>
        <v>-42645</v>
      </c>
      <c r="F73" s="166">
        <f t="shared" si="9"/>
        <v>-982880</v>
      </c>
      <c r="G73" s="171">
        <f t="shared" si="10"/>
        <v>-0.51729999999999998</v>
      </c>
      <c r="H73" s="171">
        <f t="shared" si="11"/>
        <v>-2.24E-2</v>
      </c>
    </row>
    <row r="74" spans="1:8">
      <c r="A74" s="162">
        <v>2000000</v>
      </c>
      <c r="B74" s="163">
        <f t="shared" si="2"/>
        <v>-0.55000000000000004</v>
      </c>
      <c r="C74" s="147">
        <f t="shared" si="3"/>
        <v>-1037880</v>
      </c>
      <c r="D74" s="164">
        <f t="shared" si="4"/>
        <v>-990235</v>
      </c>
      <c r="E74" s="165">
        <f t="shared" si="8"/>
        <v>-47645</v>
      </c>
      <c r="F74" s="166">
        <f t="shared" si="9"/>
        <v>-1037880</v>
      </c>
      <c r="G74" s="171">
        <f t="shared" si="10"/>
        <v>-0.51890000000000003</v>
      </c>
      <c r="H74" s="171">
        <f t="shared" si="11"/>
        <v>-2.3800000000000002E-2</v>
      </c>
    </row>
  </sheetData>
  <sheetProtection password="C830" sheet="1" objects="1" scenarios="1"/>
  <mergeCells count="1">
    <mergeCell ref="A1:E1"/>
  </mergeCells>
  <conditionalFormatting sqref="G2">
    <cfRule type="expression" dxfId="105" priority="2" stopIfTrue="1">
      <formula>AND(#REF!&gt;2)</formula>
    </cfRule>
  </conditionalFormatting>
  <conditionalFormatting sqref="H13:H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1" r:id="rId1"/>
  </hyperlinks>
  <printOptions horizontalCentered="1" gridLines="1"/>
  <pageMargins left="0.35433070866141736" right="0.19685039370078741" top="0.62992125984251968" bottom="0.59055118110236227" header="0.31496062992125984" footer="0.35433070866141736"/>
  <pageSetup paperSize="9" scale="90" orientation="portrait" r:id="rId2"/>
  <headerFooter alignWithMargins="0">
    <oddHeader>&amp;L&amp;8&amp;F&amp;C&amp;8&amp;A&amp;R&amp;8&amp;D</oddHeader>
    <oddFooter>&amp;L&amp;8copyright © www.rvo.at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8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88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20.25" customHeight="1" thickTop="1">
      <c r="A35" s="10"/>
      <c r="B35" s="11"/>
      <c r="C35" s="11"/>
      <c r="D35" s="12"/>
      <c r="E35" s="13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30"/>
    </row>
    <row r="40" spans="1:9">
      <c r="A40" s="16" t="s">
        <v>89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-8.9</v>
      </c>
      <c r="C42" s="52">
        <f>ROUND(B42*12,2)</f>
        <v>-106.8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-499.20400000000001</v>
      </c>
      <c r="C43" s="52">
        <f>B43*12</f>
        <v>-5990.4480000000003</v>
      </c>
      <c r="D43" s="69">
        <v>-0.185</v>
      </c>
      <c r="E43" s="44">
        <v>706.56</v>
      </c>
      <c r="F43" s="119">
        <v>5425</v>
      </c>
      <c r="G43" s="127" t="s">
        <v>73</v>
      </c>
    </row>
    <row r="44" spans="1:9" ht="13.2" outlineLevel="1">
      <c r="A44" s="117" t="s">
        <v>79</v>
      </c>
      <c r="B44" s="52">
        <f>IF(B$41&lt;E44,E44*D44,IF(B$41&gt;F44,F44*D44,B$41*D44))</f>
        <v>-206.42760000000001</v>
      </c>
      <c r="C44" s="52">
        <f>B44*12</f>
        <v>-2477.1312000000003</v>
      </c>
      <c r="D44" s="69">
        <v>-7.6499999999999999E-2</v>
      </c>
      <c r="E44" s="44">
        <v>724.02</v>
      </c>
      <c r="F44" s="119">
        <v>5425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-41.501249999999999</v>
      </c>
      <c r="C45" s="52">
        <f>B45*12</f>
        <v>-498.01499999999999</v>
      </c>
      <c r="D45" s="69">
        <v>-1.5299999999999999E-2</v>
      </c>
      <c r="E45" s="44">
        <v>2712.5</v>
      </c>
      <c r="F45" s="119">
        <v>2712.5</v>
      </c>
      <c r="G45" s="115"/>
    </row>
    <row r="46" spans="1:9" outlineLevel="1">
      <c r="A46" s="118" t="s">
        <v>98</v>
      </c>
      <c r="B46" s="52">
        <f>IF(B$41&lt;E46,E46*D46,IF(B$41&gt;F46,F46*D46,B$41*D46))</f>
        <v>-162.75</v>
      </c>
      <c r="C46" s="52">
        <f>B46*12</f>
        <v>-1953</v>
      </c>
      <c r="D46" s="69">
        <v>-0.06</v>
      </c>
      <c r="E46" s="44">
        <v>2712.5</v>
      </c>
      <c r="F46" s="119">
        <v>2712.5</v>
      </c>
    </row>
    <row r="47" spans="1:9">
      <c r="A47" s="32" t="s">
        <v>7</v>
      </c>
      <c r="B47" s="47">
        <f>ROUND(SUM(B42:B46),2)</f>
        <v>-918.78</v>
      </c>
      <c r="C47" s="47">
        <f>ROUND(SUM(C42:C46),2)</f>
        <v>-11025.39</v>
      </c>
      <c r="D47" s="48">
        <f>ROUND(C47/C37,3)</f>
        <v>-0.39600000000000002</v>
      </c>
      <c r="E47" s="33"/>
      <c r="F47" s="33"/>
    </row>
    <row r="48" spans="1:9" ht="13.5" customHeight="1">
      <c r="A48" s="70" t="s">
        <v>45</v>
      </c>
      <c r="B48" s="50">
        <f>SUM(B41,B47)</f>
        <v>1779.6200000000001</v>
      </c>
      <c r="C48" s="50">
        <f>SUM(C37:C40,C47)</f>
        <v>21355.41</v>
      </c>
      <c r="D48" s="51">
        <f>ROUND(C48/C37,3)</f>
        <v>0.76700000000000002</v>
      </c>
      <c r="E48" s="71" t="s">
        <v>46</v>
      </c>
      <c r="F48" s="71" t="s">
        <v>47</v>
      </c>
      <c r="G48" s="72" t="str">
        <f>IF(B57&gt;2,"MKZ","")</f>
        <v>MKZ</v>
      </c>
      <c r="H48" s="15"/>
      <c r="I48" s="15"/>
    </row>
    <row r="49" spans="1:9" ht="13.5" customHeight="1">
      <c r="A49" s="73" t="s">
        <v>48</v>
      </c>
      <c r="B49" s="73"/>
      <c r="C49" s="74">
        <f>IF(ISBLANK(E49),-60,ROUND(MIN(-60,IF(C48&lt;36400,MIN(E49,F49)/-4,((60000-C48)*(MIN(E49,F49)/4-60)/23600+60)*-1)),2))</f>
        <v>-60</v>
      </c>
      <c r="D49" s="3"/>
      <c r="E49" s="75"/>
      <c r="F49" s="76">
        <f>IF(B56=0,2920,IF(B57&lt;3,5840,IF(G49="ohne MKZ",5840,7300)))</f>
        <v>7300</v>
      </c>
      <c r="G49" s="77"/>
      <c r="H49" s="15"/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für",IF(ISBLANK(G51),ROUND((B57-2)*12,0),""),"")</f>
        <v/>
      </c>
      <c r="H50" s="15"/>
      <c r="I50" s="15"/>
    </row>
    <row r="51" spans="1:9">
      <c r="A51" s="19" t="s">
        <v>87</v>
      </c>
      <c r="B51" s="19"/>
      <c r="C51" s="45"/>
      <c r="D51" s="16"/>
      <c r="E51" s="120"/>
      <c r="F51" s="21"/>
      <c r="G51" s="102"/>
      <c r="H51" s="15"/>
      <c r="I51" s="15"/>
    </row>
    <row r="52" spans="1:9" hidden="1">
      <c r="A52" s="79" t="s">
        <v>50</v>
      </c>
      <c r="B52" s="79"/>
      <c r="C52" s="80">
        <f>ROUND(IF(SUM(C48:C51)&lt;0,0,SUM(C48:C51)),2)</f>
        <v>21295.41</v>
      </c>
      <c r="D52" s="81"/>
      <c r="E52" s="82"/>
      <c r="F52" s="83">
        <f>ROUND(IF(C52&gt;36400,0.12,IF(C52&gt;14600,0.1,IF(C52&gt;7300,0.08,0.06)))-SUM(B56/100,B57/100),3)</f>
        <v>0.06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-6%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1277.72</v>
      </c>
      <c r="G53" s="103"/>
      <c r="H53" s="15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94</v>
      </c>
      <c r="B55" s="86">
        <v>1</v>
      </c>
      <c r="C55" s="80">
        <f>ROUND(IF(SUM(C52:C54)&lt;0,0,SUM(C52:C54)),2)</f>
        <v>21295.41</v>
      </c>
      <c r="E55" s="87">
        <f>F55/C55</f>
        <v>-0.17646150038905098</v>
      </c>
      <c r="F55" s="23">
        <f>ROUND(IF(C55&lt;=11000,0,IF(C55&lt;=25000,(C55-11000)*5110/14000,IF(C55&lt;=60000,(C55-25000)*15125/35000+5110,(C55-60000)*0.5+20235)))*-1,2)</f>
        <v>-3757.82</v>
      </c>
      <c r="G55" s="103"/>
    </row>
    <row r="56" spans="1:9" s="20" customFormat="1">
      <c r="A56" s="64" t="str">
        <f>IF(SUM(B56:B57)=1,"Ek Ehe-/Lebenspartner &lt; 6000,-/Jahr","Alleinverdiener, -erzieherabsetzbetrag")</f>
        <v>Alleinverdiener, -erzieherabsetzbetrag</v>
      </c>
      <c r="B56" s="88">
        <f>IF(ISBLANK(F56),0,1)</f>
        <v>1</v>
      </c>
      <c r="C56" s="89"/>
      <c r="E56" s="87">
        <f>F56/C55</f>
        <v>1.709288527433846E-2</v>
      </c>
      <c r="F56" s="90">
        <v>364</v>
      </c>
      <c r="G56" s="103"/>
    </row>
    <row r="57" spans="1:9" s="20" customFormat="1">
      <c r="A57" s="19" t="s">
        <v>52</v>
      </c>
      <c r="B57" s="88">
        <f>IF(F57=130,1,IF(F57=305,2,IF(F57=525,3,IF(F57=745,4,IF(F57=965,5,IF(F57=1185,6,IF(F57=1405,7,0)))))))</f>
        <v>3</v>
      </c>
      <c r="C57" s="21"/>
      <c r="D57" s="19"/>
      <c r="E57" s="87">
        <f>F57/C55</f>
        <v>2.4653199914911241E-2</v>
      </c>
      <c r="F57" s="90">
        <v>525</v>
      </c>
      <c r="G57" s="103"/>
    </row>
    <row r="58" spans="1:9" s="20" customFormat="1" hidden="1">
      <c r="A58" s="79" t="s">
        <v>53</v>
      </c>
      <c r="B58" s="79"/>
      <c r="C58" s="80"/>
      <c r="D58" s="79"/>
      <c r="E58" s="91"/>
      <c r="F58" s="80">
        <f>ROUND(IF(F57=0,IF(SUM(F55:F56)&gt;0,0,SUM(F55:F57)),SUM(F55:F57)),2)</f>
        <v>-2868.82</v>
      </c>
      <c r="G58" s="103"/>
    </row>
    <row r="59" spans="1:9" s="20" customFormat="1">
      <c r="A59" s="25" t="s">
        <v>54</v>
      </c>
      <c r="B59" s="92">
        <f>IF(F59&gt;0,1,0)</f>
        <v>0</v>
      </c>
      <c r="C59" s="74"/>
      <c r="E59" s="87">
        <f>F59/C55</f>
        <v>0</v>
      </c>
      <c r="F59" s="90"/>
      <c r="G59" s="103"/>
    </row>
    <row r="60" spans="1:9" s="20" customFormat="1">
      <c r="A60" s="93" t="str">
        <f>IF(F60&lt;=0,"Einkommensteuer (ESt) des Jahres","ESt-Gutschrift aus Negativsteuer")</f>
        <v>Einkommensteuer (ESt) des Jahres</v>
      </c>
      <c r="B60" s="93"/>
      <c r="C60" s="80">
        <f>F60</f>
        <v>-2868.82</v>
      </c>
      <c r="D60" s="51">
        <f>ROUND(C60/C37,3)</f>
        <v>-0.10299999999999999</v>
      </c>
      <c r="E60" s="91">
        <f>SUM(E55:E59)</f>
        <v>-0.13471541519980126</v>
      </c>
      <c r="F60" s="80">
        <f>ROUND(IF(F58&gt;0,F58,IF(SUM(F58:F59)&gt;0,0,SUM(F58:F59))),2)</f>
        <v>-2868.82</v>
      </c>
      <c r="G60" s="74" t="str">
        <f>IF(G49="inkl. MKZ für",IF(B57&gt;2,IF(ISBLANK(G51),ROUND(G50*20,2),ROUND(G51*20,2)),""),"")</f>
        <v/>
      </c>
    </row>
    <row r="61" spans="1:9" s="20" customFormat="1" ht="13.5" customHeight="1" thickBot="1">
      <c r="A61" s="94" t="s">
        <v>93</v>
      </c>
      <c r="B61" s="95"/>
      <c r="C61" s="96">
        <f>SUM(C55:C60)</f>
        <v>18426.59</v>
      </c>
      <c r="D61" s="122">
        <f>ROUND(C61/C37,3)</f>
        <v>0.66200000000000003</v>
      </c>
      <c r="E61" s="323" t="str">
        <f>IF(C55&lt;=11000,"",CONCATENATE(" (Grenzsteuersatz .. ",IF(C55&lt;=25000,"36,5 %",IF(C55&lt;=60000,"43,2 %","50 %")),")"))</f>
        <v xml:space="preserve"> (Grenzsteuersatz .. 36,5 %)</v>
      </c>
      <c r="F61" s="323"/>
    </row>
    <row r="62" spans="1:9" s="20" customFormat="1" ht="29.25" customHeight="1" thickTop="1">
      <c r="A62" s="26"/>
      <c r="B62" s="26"/>
      <c r="C62" s="27"/>
      <c r="D62" s="27"/>
      <c r="E62" s="27"/>
      <c r="F62" s="39"/>
    </row>
    <row r="63" spans="1:9" ht="12">
      <c r="A63" s="1" t="s">
        <v>63</v>
      </c>
      <c r="B63" s="2" t="s">
        <v>0</v>
      </c>
      <c r="C63" s="2" t="s">
        <v>1</v>
      </c>
      <c r="D63" s="34" t="s">
        <v>4</v>
      </c>
      <c r="E63" s="35"/>
      <c r="F63" s="104" t="s">
        <v>58</v>
      </c>
    </row>
    <row r="64" spans="1:9">
      <c r="A64" s="4" t="s">
        <v>5</v>
      </c>
      <c r="B64" s="53">
        <f>ROUND(B11,2)</f>
        <v>3000</v>
      </c>
      <c r="C64" s="18">
        <f>B64*12</f>
        <v>36000</v>
      </c>
      <c r="D64" s="57">
        <v>1</v>
      </c>
    </row>
    <row r="65" spans="1:6">
      <c r="A65" s="4" t="s">
        <v>92</v>
      </c>
      <c r="B65" s="54">
        <f>ROUND(SUM(B14:B16,B18:B23,B25:B30,B32:B33),2)</f>
        <v>0</v>
      </c>
      <c r="C65" s="18">
        <f>B65*12</f>
        <v>0</v>
      </c>
      <c r="D65" s="57">
        <f>ROUND(B65/B64,3)</f>
        <v>0</v>
      </c>
    </row>
    <row r="66" spans="1:6">
      <c r="A66" s="16" t="s">
        <v>7</v>
      </c>
      <c r="B66" s="53">
        <f>ROUND(B47,2)</f>
        <v>-918.78</v>
      </c>
      <c r="C66" s="18">
        <f>B66*12</f>
        <v>-11025.36</v>
      </c>
      <c r="D66" s="57">
        <f>ROUND(B66/B64,3)</f>
        <v>-0.30599999999999999</v>
      </c>
      <c r="E66" s="123" t="str">
        <f>CONCATENATE(" (davon  ",ROUND(SUM(C40,C66),2)," Nachforderung)")</f>
        <v xml:space="preserve"> (davon  -2865,36 Nachforderung)</v>
      </c>
    </row>
    <row r="67" spans="1:6">
      <c r="A67" s="4" t="s">
        <v>90</v>
      </c>
      <c r="B67" s="53">
        <f>ROUND(C60/12,2)</f>
        <v>-239.07</v>
      </c>
      <c r="C67" s="18">
        <f>B67*12</f>
        <v>-2868.84</v>
      </c>
      <c r="D67" s="57">
        <f>ROUND(B67/B64,3)</f>
        <v>-0.08</v>
      </c>
    </row>
    <row r="68" spans="1:6" ht="12" thickBot="1">
      <c r="A68" s="8" t="s">
        <v>55</v>
      </c>
      <c r="B68" s="55">
        <f>ROUND(SUM(B64:B67),2)</f>
        <v>1842.15</v>
      </c>
      <c r="C68" s="28">
        <f>B68*12</f>
        <v>22105.800000000003</v>
      </c>
      <c r="D68" s="58">
        <f>ROUND(B68/B64,4)</f>
        <v>0.61409999999999998</v>
      </c>
      <c r="E68" s="38"/>
      <c r="F68" s="37"/>
    </row>
    <row r="69" spans="1:6" ht="12.6" thickTop="1" thickBot="1">
      <c r="A69" s="29" t="s">
        <v>56</v>
      </c>
      <c r="B69" s="56">
        <f>ROUND(B68*12/14,2)</f>
        <v>1578.99</v>
      </c>
      <c r="C69" s="97"/>
      <c r="D69" s="98"/>
      <c r="E69" s="99"/>
      <c r="F69" s="99"/>
    </row>
    <row r="70" spans="1:6" s="20" customFormat="1" ht="25.5" customHeight="1" thickTop="1">
      <c r="A70" s="26"/>
      <c r="B70" s="26"/>
      <c r="C70" s="27"/>
      <c r="D70" s="27"/>
      <c r="E70" s="27"/>
      <c r="F70" s="39"/>
    </row>
    <row r="71" spans="1:6" ht="13.2">
      <c r="A71" s="108" t="s">
        <v>64</v>
      </c>
      <c r="B71" s="2" t="s">
        <v>0</v>
      </c>
      <c r="C71" s="2" t="s">
        <v>1</v>
      </c>
      <c r="D71" s="34"/>
      <c r="E71" s="35"/>
      <c r="F71" s="104" t="s">
        <v>58</v>
      </c>
    </row>
    <row r="72" spans="1:6" ht="13.5" customHeight="1">
      <c r="A72" s="20" t="s">
        <v>59</v>
      </c>
      <c r="B72" s="105">
        <f>C72/12</f>
        <v>2081.2175000000002</v>
      </c>
      <c r="C72" s="105">
        <f>C11+C34+C47-C17-C31-C33</f>
        <v>24974.61</v>
      </c>
    </row>
    <row r="73" spans="1:6">
      <c r="A73" s="20" t="s">
        <v>60</v>
      </c>
      <c r="B73" s="105">
        <f>C73/12</f>
        <v>0</v>
      </c>
      <c r="C73" s="105">
        <f>C33</f>
        <v>0</v>
      </c>
    </row>
    <row r="74" spans="1:6">
      <c r="A74" s="93" t="s">
        <v>61</v>
      </c>
      <c r="B74" s="80">
        <f>SUM(B72:B73)</f>
        <v>2081.2175000000002</v>
      </c>
      <c r="C74" s="80">
        <f>SUM(C72:C73)</f>
        <v>24974.61</v>
      </c>
    </row>
    <row r="75" spans="1:6">
      <c r="A75" s="20" t="s">
        <v>62</v>
      </c>
      <c r="B75" s="105">
        <f>C75/12</f>
        <v>0</v>
      </c>
      <c r="C75" s="105">
        <f>C17</f>
        <v>0</v>
      </c>
    </row>
    <row r="76" spans="1:6" ht="12" thickBot="1">
      <c r="A76" s="106" t="str">
        <f>IF(C76&lt;0,"   V e r l u s t","   G e w i n n   ( Überschuß)")</f>
        <v xml:space="preserve">   G e w i n n   ( Überschuß)</v>
      </c>
      <c r="B76" s="107">
        <f>ROUND(SUM(B74:B75),2)</f>
        <v>2081.2199999999998</v>
      </c>
      <c r="C76" s="107">
        <f>ROUND(SUM(C74:C75),2)</f>
        <v>24974.61</v>
      </c>
      <c r="D76" s="109"/>
      <c r="E76" s="37"/>
      <c r="F76" s="37"/>
    </row>
    <row r="77" spans="1:6" s="20" customFormat="1" ht="25.5" customHeight="1" thickTop="1">
      <c r="A77" s="26"/>
      <c r="B77" s="26"/>
      <c r="C77" s="27"/>
      <c r="D77" s="27"/>
      <c r="E77" s="27"/>
      <c r="F77" s="39"/>
    </row>
    <row r="78" spans="1:6" ht="13.2">
      <c r="A78" s="108" t="s">
        <v>65</v>
      </c>
      <c r="B78" s="2" t="s">
        <v>0</v>
      </c>
      <c r="C78" s="2" t="s">
        <v>1</v>
      </c>
      <c r="D78" s="34"/>
      <c r="E78" s="35"/>
      <c r="F78" s="104" t="s">
        <v>58</v>
      </c>
    </row>
    <row r="79" spans="1:6" ht="12.75" customHeight="1">
      <c r="A79" s="4" t="s">
        <v>66</v>
      </c>
      <c r="C79" s="113"/>
    </row>
    <row r="80" spans="1:6">
      <c r="A80" s="110" t="s">
        <v>67</v>
      </c>
      <c r="B80" s="111"/>
      <c r="C80" s="46"/>
    </row>
    <row r="81" spans="1:6" ht="14.25" customHeight="1">
      <c r="A81" s="4" t="s">
        <v>68</v>
      </c>
      <c r="C81" s="18">
        <f>SUM(C79:C80)</f>
        <v>0</v>
      </c>
    </row>
    <row r="82" spans="1:6">
      <c r="A82" s="110" t="s">
        <v>69</v>
      </c>
      <c r="B82" s="111"/>
      <c r="C82" s="46"/>
      <c r="D82" s="114"/>
      <c r="E82" s="112">
        <f>SUM(C81:C82)</f>
        <v>0</v>
      </c>
    </row>
    <row r="83" spans="1:6" ht="17.25" customHeight="1">
      <c r="A83" s="4" t="s">
        <v>70</v>
      </c>
      <c r="B83" s="18">
        <f>C83/12</f>
        <v>1842.1500000000003</v>
      </c>
      <c r="C83" s="18">
        <f>C68</f>
        <v>22105.800000000003</v>
      </c>
    </row>
    <row r="84" spans="1:6">
      <c r="A84" s="110" t="s">
        <v>71</v>
      </c>
      <c r="B84" s="46"/>
      <c r="C84" s="112">
        <f>B84*12</f>
        <v>0</v>
      </c>
      <c r="D84" s="114"/>
      <c r="E84" s="112">
        <f>SUM(C83:C84)</f>
        <v>22105.800000000003</v>
      </c>
    </row>
    <row r="85" spans="1:6" ht="13.5" customHeight="1">
      <c r="A85" s="4" t="s">
        <v>72</v>
      </c>
      <c r="B85" s="18">
        <f>C85/12</f>
        <v>0</v>
      </c>
      <c r="C85" s="113"/>
      <c r="E85" s="18">
        <f>C85</f>
        <v>0</v>
      </c>
    </row>
    <row r="86" spans="1:6" ht="15" customHeight="1" thickBot="1">
      <c r="A86" s="106" t="str">
        <f>IF(C86&lt;0,"   U n t e r d e c k u n g   gesamt","   Ü b e r d e c k u n g   gesamt")</f>
        <v xml:space="preserve">   Ü b e r d e c k u n g   gesamt</v>
      </c>
      <c r="B86" s="9"/>
      <c r="C86" s="28">
        <f>SUM(C81:C85)</f>
        <v>22105.800000000003</v>
      </c>
      <c r="D86" s="109"/>
      <c r="E86" s="28">
        <f>SUM(E82:E85)</f>
        <v>22105.800000000003</v>
      </c>
      <c r="F86" s="37"/>
    </row>
    <row r="87" spans="1:6" s="20" customFormat="1" ht="25.5" customHeight="1" thickTop="1">
      <c r="A87" s="26"/>
      <c r="B87" s="26"/>
      <c r="C87" s="27"/>
      <c r="D87" s="27"/>
      <c r="E87" s="27"/>
      <c r="F87" s="39"/>
    </row>
    <row r="88" spans="1:6">
      <c r="C88" s="5"/>
    </row>
    <row r="89" spans="1:6">
      <c r="C89" s="5"/>
    </row>
    <row r="90" spans="1:6">
      <c r="C90" s="5"/>
    </row>
    <row r="91" spans="1:6">
      <c r="C91" s="5"/>
    </row>
    <row r="92" spans="1:6">
      <c r="C92" s="5"/>
    </row>
    <row r="93" spans="1:6">
      <c r="C93" s="5"/>
    </row>
    <row r="94" spans="1:6">
      <c r="C94" s="5"/>
    </row>
    <row r="95" spans="1:6">
      <c r="C95" s="5"/>
    </row>
    <row r="96" spans="1:6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</sheetData>
  <sheetProtection password="C837" sheet="1" objects="1" scenarios="1" autoFilter="0"/>
  <mergeCells count="4">
    <mergeCell ref="A1:D1"/>
    <mergeCell ref="E1:F1"/>
    <mergeCell ref="D42:F42"/>
    <mergeCell ref="E61:F61"/>
  </mergeCells>
  <conditionalFormatting sqref="F56">
    <cfRule type="expression" dxfId="104" priority="1" stopIfTrue="1">
      <formula>AND(F56=0,F57&gt;0)</formula>
    </cfRule>
  </conditionalFormatting>
  <conditionalFormatting sqref="B56">
    <cfRule type="expression" dxfId="103" priority="2" stopIfTrue="1">
      <formula>AND(F56=0,F57&gt;0)</formula>
    </cfRule>
  </conditionalFormatting>
  <conditionalFormatting sqref="B57">
    <cfRule type="expression" dxfId="102" priority="3" stopIfTrue="1">
      <formula>AND(F56=0,F57&gt;0)</formula>
    </cfRule>
  </conditionalFormatting>
  <conditionalFormatting sqref="G49">
    <cfRule type="expression" dxfId="101" priority="4" stopIfTrue="1">
      <formula>AND(B57&gt;2)</formula>
    </cfRule>
  </conditionalFormatting>
  <conditionalFormatting sqref="G52:G59">
    <cfRule type="expression" dxfId="100" priority="5" stopIfTrue="1">
      <formula>AND(B$57&gt;2)</formula>
    </cfRule>
  </conditionalFormatting>
  <conditionalFormatting sqref="G60">
    <cfRule type="expression" dxfId="99" priority="6" stopIfTrue="1">
      <formula>AND(B57&gt;2)</formula>
    </cfRule>
  </conditionalFormatting>
  <conditionalFormatting sqref="G48">
    <cfRule type="expression" dxfId="98" priority="7" stopIfTrue="1">
      <formula>AND(B57&gt;2)</formula>
    </cfRule>
  </conditionalFormatting>
  <conditionalFormatting sqref="G51">
    <cfRule type="expression" dxfId="97" priority="8" stopIfTrue="1">
      <formula>AND(B57&gt;2)</formula>
    </cfRule>
  </conditionalFormatting>
  <conditionalFormatting sqref="G50">
    <cfRule type="expression" dxfId="96" priority="9" stopIfTrue="1">
      <formula>AND(B57&gt;2)</formula>
    </cfRule>
  </conditionalFormatting>
  <conditionalFormatting sqref="E66">
    <cfRule type="expression" dxfId="95" priority="10" stopIfTrue="1">
      <formula>SUM(C40,C66)&lt;0</formula>
    </cfRule>
  </conditionalFormatting>
  <conditionalFormatting sqref="D38">
    <cfRule type="cellIs" dxfId="94" priority="11" stopIfTrue="1" operator="notBetween">
      <formula>0</formula>
      <formula>-0.13</formula>
    </cfRule>
  </conditionalFormatting>
  <conditionalFormatting sqref="F57">
    <cfRule type="expression" dxfId="93" priority="12" stopIfTrue="1">
      <formula>AND(F56=0,F57&gt;0)</formula>
    </cfRule>
    <cfRule type="expression" dxfId="92" priority="13" stopIfTrue="1">
      <formula>AND(F56&gt;0,F57=0)</formula>
    </cfRule>
  </conditionalFormatting>
  <dataValidations count="20"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  <dataValidation type="list" operator="equal" allowBlank="1" showInputMessage="1" showErrorMessage="1" errorTitle="RVO zu Absetzbetrag:" error="Wert Null oder 364 gefordert!" sqref="F56">
      <formula1>"0,364"</formula1>
    </dataValidation>
    <dataValidation type="list" allowBlank="1" showInputMessage="1" showErrorMessage="1" errorTitle="RVO zu Kinderzuschlag:" error="Eingabe lt. Liste. Die Werte steigen nach Anzahl der Kinder!" sqref="F57">
      <formula1>"0,130,305,525,745,965,1185,1405"</formula1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C79:C80 B84 B14:B33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Einnahme!" error="Werte zwischen Null und 999.999,- erlaubt!" sqref="C82 B3:B1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51">
      <formula1>-2200</formula1>
      <formula2>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59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</dataValidations>
  <hyperlinks>
    <hyperlink ref="F36" r:id="rId1" display="www.rvo.at"/>
    <hyperlink ref="F63" r:id="rId2" display="www.rvo.at"/>
    <hyperlink ref="F71" r:id="rId3" display="www.rvo.at"/>
    <hyperlink ref="F78" r:id="rId4" display="www.rvo.at"/>
    <hyperlink ref="G43" r:id="rId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&amp;L&amp;8copyright © www.rvo.at</oddFooter>
  </headerFooter>
  <rowBreaks count="1" manualBreakCount="1">
    <brk id="62" max="5" man="1"/>
  </rowBreaks>
  <legacyDrawing r:id="rId7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8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88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20.25" customHeight="1" thickTop="1">
      <c r="A35" s="10"/>
      <c r="B35" s="11"/>
      <c r="C35" s="11"/>
      <c r="D35" s="12"/>
      <c r="E35" s="13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30"/>
    </row>
    <row r="40" spans="1:9">
      <c r="A40" s="16" t="s">
        <v>89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-8.67</v>
      </c>
      <c r="C42" s="52">
        <f>ROUND(B42*12,2)</f>
        <v>-104.04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-499.20400000000001</v>
      </c>
      <c r="C43" s="52">
        <f>B43*12</f>
        <v>-5990.4480000000003</v>
      </c>
      <c r="D43" s="69">
        <v>-0.185</v>
      </c>
      <c r="E43" s="44">
        <v>687.98</v>
      </c>
      <c r="F43" s="119">
        <v>5285</v>
      </c>
      <c r="G43" s="127" t="s">
        <v>73</v>
      </c>
    </row>
    <row r="44" spans="1:9" ht="13.2" outlineLevel="1">
      <c r="A44" s="117" t="s">
        <v>79</v>
      </c>
      <c r="B44" s="52">
        <f>IF(B$41&lt;E44,E44*D44,IF(B$41&gt;F44,F44*D44,B$41*D44))</f>
        <v>-206.42760000000001</v>
      </c>
      <c r="C44" s="52">
        <f>B44*12</f>
        <v>-2477.1312000000003</v>
      </c>
      <c r="D44" s="69">
        <v>-7.6499999999999999E-2</v>
      </c>
      <c r="E44" s="44">
        <v>704.99</v>
      </c>
      <c r="F44" s="119">
        <v>5285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-40.430250000000001</v>
      </c>
      <c r="C45" s="52">
        <f>B45*12</f>
        <v>-485.16300000000001</v>
      </c>
      <c r="D45" s="69">
        <v>-1.5299999999999999E-2</v>
      </c>
      <c r="E45" s="44">
        <v>2642.5</v>
      </c>
      <c r="F45" s="119">
        <v>2642.5</v>
      </c>
      <c r="G45" s="115"/>
    </row>
    <row r="46" spans="1:9" outlineLevel="1">
      <c r="A46" s="118" t="s">
        <v>98</v>
      </c>
      <c r="B46" s="52">
        <f>IF(B$41&lt;E46,E46*D46,IF(B$41&gt;F46,F46*D46,B$41*D46))</f>
        <v>-158.54999999999998</v>
      </c>
      <c r="C46" s="52">
        <f>B46*12</f>
        <v>-1902.6</v>
      </c>
      <c r="D46" s="69">
        <v>-0.06</v>
      </c>
      <c r="E46" s="44">
        <v>2642.5</v>
      </c>
      <c r="F46" s="119">
        <v>2642.5</v>
      </c>
    </row>
    <row r="47" spans="1:9">
      <c r="A47" s="32" t="s">
        <v>7</v>
      </c>
      <c r="B47" s="47">
        <f>ROUND(SUM(B42:B46),2)</f>
        <v>-913.28</v>
      </c>
      <c r="C47" s="47">
        <f>ROUND(SUM(C42:C46),2)</f>
        <v>-10959.38</v>
      </c>
      <c r="D47" s="48">
        <f>ROUND(C47/C37,3)</f>
        <v>-0.39400000000000002</v>
      </c>
      <c r="E47" s="33"/>
      <c r="F47" s="33"/>
    </row>
    <row r="48" spans="1:9" ht="13.5" customHeight="1">
      <c r="A48" s="70" t="s">
        <v>45</v>
      </c>
      <c r="B48" s="50">
        <f>SUM(B41,B47)</f>
        <v>1785.1200000000001</v>
      </c>
      <c r="C48" s="50">
        <f>SUM(C37:C40,C47)</f>
        <v>21421.42</v>
      </c>
      <c r="D48" s="51">
        <f>ROUND(C48/C37,3)</f>
        <v>0.76900000000000002</v>
      </c>
      <c r="E48" s="71" t="s">
        <v>46</v>
      </c>
      <c r="F48" s="71" t="s">
        <v>47</v>
      </c>
      <c r="G48" s="72" t="str">
        <f>IF(B57&gt;2,"MKZ","")</f>
        <v/>
      </c>
      <c r="H48" s="15"/>
      <c r="I48" s="15"/>
    </row>
    <row r="49" spans="1:9" ht="13.5" customHeight="1">
      <c r="A49" s="73" t="s">
        <v>48</v>
      </c>
      <c r="B49" s="73"/>
      <c r="C49" s="74">
        <f>IF(ISBLANK(E49),-60,ROUND(MIN(-60,IF(C48&lt;36400,MIN(E49,F49)/-4,((60000-C48)*(MIN(E49,F49)/4-60)/23600+60)*-1)),2))</f>
        <v>-60</v>
      </c>
      <c r="D49" s="3"/>
      <c r="E49" s="75"/>
      <c r="F49" s="76">
        <f>IF(B56=0,2920,IF(B57&lt;3,5840,IF(G49="ohne MKZ",5840,7300)))</f>
        <v>2920</v>
      </c>
      <c r="G49" s="77"/>
      <c r="H49" s="15"/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für",IF(ISBLANK(G51),ROUND((B57-2)*12,0),""),"")</f>
        <v/>
      </c>
      <c r="H50" s="15"/>
      <c r="I50" s="15"/>
    </row>
    <row r="51" spans="1:9">
      <c r="A51" s="19" t="s">
        <v>87</v>
      </c>
      <c r="B51" s="19"/>
      <c r="C51" s="45"/>
      <c r="D51" s="16"/>
      <c r="E51" s="120"/>
      <c r="F51" s="21"/>
      <c r="G51" s="102"/>
      <c r="H51" s="15"/>
      <c r="I51" s="15"/>
    </row>
    <row r="52" spans="1:9" hidden="1">
      <c r="A52" s="79" t="s">
        <v>50</v>
      </c>
      <c r="B52" s="79"/>
      <c r="C52" s="80">
        <f>ROUND(IF(SUM(C48:C51)&lt;0,0,SUM(C48:C51)),2)</f>
        <v>21361.42</v>
      </c>
      <c r="D52" s="81"/>
      <c r="E52" s="82"/>
      <c r="F52" s="83">
        <f>ROUND(IF(C52&gt;36400,0.12,IF(C52&gt;14600,0.1,IF(C52&gt;7300,0.08,0.06)))-SUM(B56/100,B57/100),3)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2136.14</v>
      </c>
      <c r="G53" s="103"/>
      <c r="H53" s="15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94</v>
      </c>
      <c r="B55" s="86">
        <v>1</v>
      </c>
      <c r="C55" s="80">
        <f>ROUND(IF(SUM(C52:C54)&lt;0,0,SUM(C52:C54)),2)</f>
        <v>21361.42</v>
      </c>
      <c r="E55" s="87">
        <f>F55/C55</f>
        <v>-0.1770444099690002</v>
      </c>
      <c r="F55" s="23">
        <f>ROUND(IF(C55&lt;=11000,0,IF(C55&lt;=25000,(C55-11000)*5110/14000,IF(C55&lt;=60000,(C55-25000)*15125/35000+5110,(C55-60000)*0.5+20235)))*-1,2)</f>
        <v>-3781.92</v>
      </c>
      <c r="G55" s="103"/>
    </row>
    <row r="56" spans="1:9" s="20" customFormat="1">
      <c r="A56" s="64" t="str">
        <f>IF(SUM(B56:B57)=1,"Ek Ehe-/Lebenspartner &lt; 6000,-/Jahr","Alleinverdiener, -erzieherabsetzbetrag")</f>
        <v>Alleinverdiener, -erzieherabsetzbetrag</v>
      </c>
      <c r="B56" s="88">
        <f>IF(ISBLANK(F56),0,1)</f>
        <v>0</v>
      </c>
      <c r="C56" s="89"/>
      <c r="E56" s="87">
        <f>F56/C55</f>
        <v>0</v>
      </c>
      <c r="F56" s="90"/>
      <c r="G56" s="103"/>
    </row>
    <row r="57" spans="1:9" s="20" customFormat="1">
      <c r="A57" s="19" t="s">
        <v>52</v>
      </c>
      <c r="B57" s="88">
        <f>IF(F57=130,1,IF(F57=305,2,IF(F57=525,3,IF(F57=745,4,IF(F57=965,5,IF(F57=1185,6,IF(F57=1405,7,0)))))))</f>
        <v>0</v>
      </c>
      <c r="C57" s="21"/>
      <c r="D57" s="19"/>
      <c r="E57" s="87">
        <f>F57/C55</f>
        <v>0</v>
      </c>
      <c r="F57" s="90"/>
      <c r="G57" s="103"/>
    </row>
    <row r="58" spans="1:9" s="20" customFormat="1" hidden="1">
      <c r="A58" s="79" t="s">
        <v>53</v>
      </c>
      <c r="B58" s="79"/>
      <c r="C58" s="80"/>
      <c r="D58" s="79"/>
      <c r="E58" s="91"/>
      <c r="F58" s="80">
        <f>ROUND(IF(F57=0,IF(SUM(F55:F56)&gt;0,0,SUM(F55:F57)),SUM(F55:F57)),2)</f>
        <v>-3781.92</v>
      </c>
      <c r="G58" s="103"/>
    </row>
    <row r="59" spans="1:9" s="20" customFormat="1">
      <c r="A59" s="25" t="s">
        <v>54</v>
      </c>
      <c r="B59" s="92">
        <f>IF(F59&gt;0,1,0)</f>
        <v>0</v>
      </c>
      <c r="C59" s="74"/>
      <c r="E59" s="87">
        <f>F59/C55</f>
        <v>0</v>
      </c>
      <c r="F59" s="90"/>
      <c r="G59" s="103"/>
    </row>
    <row r="60" spans="1:9" s="20" customFormat="1">
      <c r="A60" s="93" t="str">
        <f>IF(F60&lt;=0,"Einkommensteuer (ESt) des Jahres","ESt-Gutschrift aus Negativsteuer")</f>
        <v>Einkommensteuer (ESt) des Jahres</v>
      </c>
      <c r="B60" s="93"/>
      <c r="C60" s="80">
        <f>F60</f>
        <v>-3781.92</v>
      </c>
      <c r="D60" s="51">
        <f>ROUND(C60/C37,3)</f>
        <v>-0.13600000000000001</v>
      </c>
      <c r="E60" s="91">
        <f>SUM(E55:E59)</f>
        <v>-0.1770444099690002</v>
      </c>
      <c r="F60" s="80">
        <f>ROUND(IF(F58&gt;0,F58,IF(SUM(F58:F59)&gt;0,0,SUM(F58:F59))),2)</f>
        <v>-3781.92</v>
      </c>
      <c r="G60" s="74" t="str">
        <f>IF(G49="inkl. MKZ für",IF(B57&gt;2,IF(ISBLANK(G51),ROUND(G50*20,2),ROUND(G51*20,2)),""),"")</f>
        <v/>
      </c>
    </row>
    <row r="61" spans="1:9" s="20" customFormat="1" ht="13.5" customHeight="1" thickBot="1">
      <c r="A61" s="94" t="s">
        <v>93</v>
      </c>
      <c r="B61" s="95"/>
      <c r="C61" s="96">
        <f>SUM(C55:C60)</f>
        <v>17579.5</v>
      </c>
      <c r="D61" s="122">
        <f>ROUND(C61/C37,3)</f>
        <v>0.63100000000000001</v>
      </c>
      <c r="E61" s="323" t="str">
        <f>IF(C55&lt;=11000,"",CONCATENATE(" (Grenzsteuersatz .. ",IF(C55&lt;=25000,"36,5 %",IF(C55&lt;=60000,"43,2 %","50 %")),")"))</f>
        <v xml:space="preserve"> (Grenzsteuersatz .. 36,5 %)</v>
      </c>
      <c r="F61" s="323"/>
    </row>
    <row r="62" spans="1:9" s="20" customFormat="1" ht="29.25" customHeight="1" thickTop="1">
      <c r="A62" s="26"/>
      <c r="B62" s="26"/>
      <c r="C62" s="27"/>
      <c r="D62" s="27"/>
      <c r="E62" s="27"/>
      <c r="F62" s="39"/>
    </row>
    <row r="63" spans="1:9" ht="12">
      <c r="A63" s="1" t="s">
        <v>63</v>
      </c>
      <c r="B63" s="2" t="s">
        <v>0</v>
      </c>
      <c r="C63" s="2" t="s">
        <v>1</v>
      </c>
      <c r="D63" s="34" t="s">
        <v>4</v>
      </c>
      <c r="E63" s="35"/>
      <c r="F63" s="104" t="s">
        <v>58</v>
      </c>
    </row>
    <row r="64" spans="1:9">
      <c r="A64" s="4" t="s">
        <v>5</v>
      </c>
      <c r="B64" s="53">
        <f>ROUND(B11,2)</f>
        <v>3000</v>
      </c>
      <c r="C64" s="18">
        <f>B64*12</f>
        <v>36000</v>
      </c>
      <c r="D64" s="57">
        <v>1</v>
      </c>
    </row>
    <row r="65" spans="1:6">
      <c r="A65" s="4" t="s">
        <v>92</v>
      </c>
      <c r="B65" s="54">
        <f>ROUND(SUM(B14:B16,B18:B23,B25:B30,B32:B33),2)</f>
        <v>0</v>
      </c>
      <c r="C65" s="18">
        <f>B65*12</f>
        <v>0</v>
      </c>
      <c r="D65" s="57">
        <f>ROUND(B65/B64,3)</f>
        <v>0</v>
      </c>
    </row>
    <row r="66" spans="1:6">
      <c r="A66" s="16" t="s">
        <v>7</v>
      </c>
      <c r="B66" s="53">
        <f>ROUND(B47,2)</f>
        <v>-913.28</v>
      </c>
      <c r="C66" s="18">
        <f>B66*12</f>
        <v>-10959.36</v>
      </c>
      <c r="D66" s="57">
        <f>ROUND(B66/B64,3)</f>
        <v>-0.30399999999999999</v>
      </c>
      <c r="E66" s="123" t="str">
        <f>CONCATENATE(" (davon  ",ROUND(SUM(C40,C66),2)," Nachforderung)")</f>
        <v xml:space="preserve"> (davon  -2799,36 Nachforderung)</v>
      </c>
    </row>
    <row r="67" spans="1:6">
      <c r="A67" s="4" t="s">
        <v>90</v>
      </c>
      <c r="B67" s="53">
        <f>ROUND(C60/12,2)</f>
        <v>-315.16000000000003</v>
      </c>
      <c r="C67" s="18">
        <f>B67*12</f>
        <v>-3781.92</v>
      </c>
      <c r="D67" s="57">
        <f>ROUND(B67/B64,3)</f>
        <v>-0.105</v>
      </c>
    </row>
    <row r="68" spans="1:6" ht="12" thickBot="1">
      <c r="A68" s="8" t="s">
        <v>55</v>
      </c>
      <c r="B68" s="55">
        <f>ROUND(SUM(B64:B67),2)</f>
        <v>1771.56</v>
      </c>
      <c r="C68" s="28">
        <f>B68*12</f>
        <v>21258.720000000001</v>
      </c>
      <c r="D68" s="58">
        <f>ROUND(B68/B64,4)</f>
        <v>0.59050000000000002</v>
      </c>
      <c r="E68" s="38"/>
      <c r="F68" s="37"/>
    </row>
    <row r="69" spans="1:6" ht="12.6" thickTop="1" thickBot="1">
      <c r="A69" s="29" t="s">
        <v>56</v>
      </c>
      <c r="B69" s="56">
        <f>ROUND(B68*12/14,2)</f>
        <v>1518.48</v>
      </c>
      <c r="C69" s="97"/>
      <c r="D69" s="98"/>
      <c r="E69" s="99"/>
      <c r="F69" s="99"/>
    </row>
    <row r="70" spans="1:6" s="20" customFormat="1" ht="25.5" customHeight="1" thickTop="1">
      <c r="A70" s="26"/>
      <c r="B70" s="26"/>
      <c r="C70" s="27"/>
      <c r="D70" s="27"/>
      <c r="E70" s="27"/>
      <c r="F70" s="39"/>
    </row>
    <row r="71" spans="1:6" ht="13.2">
      <c r="A71" s="108" t="s">
        <v>64</v>
      </c>
      <c r="B71" s="2" t="s">
        <v>0</v>
      </c>
      <c r="C71" s="2" t="s">
        <v>1</v>
      </c>
      <c r="D71" s="34"/>
      <c r="E71" s="35"/>
      <c r="F71" s="104" t="s">
        <v>58</v>
      </c>
    </row>
    <row r="72" spans="1:6" ht="13.5" customHeight="1">
      <c r="A72" s="20" t="s">
        <v>59</v>
      </c>
      <c r="B72" s="105">
        <f>C72/12</f>
        <v>2086.7183333333337</v>
      </c>
      <c r="C72" s="105">
        <f>C11+C34+C47-C17-C31-C33</f>
        <v>25040.620000000003</v>
      </c>
    </row>
    <row r="73" spans="1:6">
      <c r="A73" s="20" t="s">
        <v>60</v>
      </c>
      <c r="B73" s="105">
        <f>C73/12</f>
        <v>0</v>
      </c>
      <c r="C73" s="105">
        <f>C33</f>
        <v>0</v>
      </c>
    </row>
    <row r="74" spans="1:6">
      <c r="A74" s="93" t="s">
        <v>61</v>
      </c>
      <c r="B74" s="80">
        <f>SUM(B72:B73)</f>
        <v>2086.7183333333337</v>
      </c>
      <c r="C74" s="80">
        <f>SUM(C72:C73)</f>
        <v>25040.620000000003</v>
      </c>
    </row>
    <row r="75" spans="1:6">
      <c r="A75" s="20" t="s">
        <v>62</v>
      </c>
      <c r="B75" s="105">
        <f>C75/12</f>
        <v>0</v>
      </c>
      <c r="C75" s="105">
        <f>C17</f>
        <v>0</v>
      </c>
    </row>
    <row r="76" spans="1:6" ht="12" thickBot="1">
      <c r="A76" s="106" t="str">
        <f>IF(C76&lt;0,"   V e r l u s t","   G e w i n n   ( Überschuß)")</f>
        <v xml:space="preserve">   G e w i n n   ( Überschuß)</v>
      </c>
      <c r="B76" s="107">
        <f>ROUND(SUM(B74:B75),2)</f>
        <v>2086.7199999999998</v>
      </c>
      <c r="C76" s="107">
        <f>ROUND(SUM(C74:C75),2)</f>
        <v>25040.62</v>
      </c>
      <c r="D76" s="109"/>
      <c r="E76" s="37"/>
      <c r="F76" s="37"/>
    </row>
    <row r="77" spans="1:6" s="20" customFormat="1" ht="25.5" customHeight="1" thickTop="1">
      <c r="A77" s="26"/>
      <c r="B77" s="26"/>
      <c r="C77" s="27"/>
      <c r="D77" s="27"/>
      <c r="E77" s="27"/>
      <c r="F77" s="39"/>
    </row>
    <row r="78" spans="1:6" ht="13.2">
      <c r="A78" s="108" t="s">
        <v>65</v>
      </c>
      <c r="B78" s="2" t="s">
        <v>0</v>
      </c>
      <c r="C78" s="2" t="s">
        <v>1</v>
      </c>
      <c r="D78" s="34"/>
      <c r="E78" s="35"/>
      <c r="F78" s="104" t="s">
        <v>58</v>
      </c>
    </row>
    <row r="79" spans="1:6" ht="12.75" customHeight="1">
      <c r="A79" s="4" t="s">
        <v>66</v>
      </c>
      <c r="C79" s="113"/>
    </row>
    <row r="80" spans="1:6">
      <c r="A80" s="110" t="s">
        <v>67</v>
      </c>
      <c r="B80" s="111"/>
      <c r="C80" s="46"/>
    </row>
    <row r="81" spans="1:6" ht="14.25" customHeight="1">
      <c r="A81" s="4" t="s">
        <v>68</v>
      </c>
      <c r="C81" s="18">
        <f>SUM(C79:C80)</f>
        <v>0</v>
      </c>
    </row>
    <row r="82" spans="1:6">
      <c r="A82" s="110" t="s">
        <v>69</v>
      </c>
      <c r="B82" s="111"/>
      <c r="C82" s="46"/>
      <c r="D82" s="114"/>
      <c r="E82" s="112">
        <f>SUM(C81:C82)</f>
        <v>0</v>
      </c>
    </row>
    <row r="83" spans="1:6" ht="17.25" customHeight="1">
      <c r="A83" s="4" t="s">
        <v>70</v>
      </c>
      <c r="B83" s="18">
        <f>C83/12</f>
        <v>1771.5600000000002</v>
      </c>
      <c r="C83" s="18">
        <f>C68</f>
        <v>21258.720000000001</v>
      </c>
    </row>
    <row r="84" spans="1:6">
      <c r="A84" s="110" t="s">
        <v>71</v>
      </c>
      <c r="B84" s="46"/>
      <c r="C84" s="112">
        <f>B84*12</f>
        <v>0</v>
      </c>
      <c r="D84" s="114"/>
      <c r="E84" s="112">
        <f>SUM(C83:C84)</f>
        <v>21258.720000000001</v>
      </c>
    </row>
    <row r="85" spans="1:6" ht="13.5" customHeight="1">
      <c r="A85" s="4" t="s">
        <v>72</v>
      </c>
      <c r="B85" s="18">
        <f>C85/12</f>
        <v>0</v>
      </c>
      <c r="C85" s="113"/>
      <c r="E85" s="18">
        <f>C85</f>
        <v>0</v>
      </c>
    </row>
    <row r="86" spans="1:6" ht="15" customHeight="1" thickBot="1">
      <c r="A86" s="106" t="str">
        <f>IF(C86&lt;0,"   U n t e r d e c k u n g   gesamt","   Ü b e r d e c k u n g   gesamt")</f>
        <v xml:space="preserve">   Ü b e r d e c k u n g   gesamt</v>
      </c>
      <c r="B86" s="9"/>
      <c r="C86" s="28">
        <f>SUM(C81:C85)</f>
        <v>21258.720000000001</v>
      </c>
      <c r="D86" s="109"/>
      <c r="E86" s="28">
        <f>SUM(E82:E85)</f>
        <v>21258.720000000001</v>
      </c>
      <c r="F86" s="37"/>
    </row>
    <row r="87" spans="1:6" s="20" customFormat="1" ht="25.5" customHeight="1" thickTop="1">
      <c r="A87" s="26"/>
      <c r="B87" s="26"/>
      <c r="C87" s="27"/>
      <c r="D87" s="27"/>
      <c r="E87" s="27"/>
      <c r="F87" s="39"/>
    </row>
    <row r="88" spans="1:6">
      <c r="C88" s="5"/>
    </row>
    <row r="89" spans="1:6">
      <c r="C89" s="5"/>
    </row>
    <row r="90" spans="1:6">
      <c r="C90" s="5"/>
    </row>
    <row r="91" spans="1:6">
      <c r="C91" s="5"/>
    </row>
    <row r="92" spans="1:6">
      <c r="C92" s="5"/>
    </row>
    <row r="93" spans="1:6">
      <c r="C93" s="5"/>
    </row>
    <row r="94" spans="1:6">
      <c r="C94" s="5"/>
    </row>
    <row r="95" spans="1:6">
      <c r="C95" s="5"/>
    </row>
    <row r="96" spans="1:6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</sheetData>
  <sheetProtection password="C837" sheet="1" objects="1" scenarios="1" autoFilter="0"/>
  <mergeCells count="4">
    <mergeCell ref="A1:D1"/>
    <mergeCell ref="E1:F1"/>
    <mergeCell ref="D42:F42"/>
    <mergeCell ref="E61:F61"/>
  </mergeCells>
  <conditionalFormatting sqref="F56">
    <cfRule type="expression" dxfId="91" priority="1" stopIfTrue="1">
      <formula>AND(F56=0,F57&gt;0)</formula>
    </cfRule>
  </conditionalFormatting>
  <conditionalFormatting sqref="B56">
    <cfRule type="expression" dxfId="90" priority="2" stopIfTrue="1">
      <formula>AND(F56=0,F57&gt;0)</formula>
    </cfRule>
  </conditionalFormatting>
  <conditionalFormatting sqref="B57">
    <cfRule type="expression" dxfId="89" priority="3" stopIfTrue="1">
      <formula>AND(F56=0,F57&gt;0)</formula>
    </cfRule>
  </conditionalFormatting>
  <conditionalFormatting sqref="G49">
    <cfRule type="expression" dxfId="88" priority="4" stopIfTrue="1">
      <formula>AND(B57&gt;2)</formula>
    </cfRule>
  </conditionalFormatting>
  <conditionalFormatting sqref="G52:G59">
    <cfRule type="expression" dxfId="87" priority="5" stopIfTrue="1">
      <formula>AND(B$57&gt;2)</formula>
    </cfRule>
  </conditionalFormatting>
  <conditionalFormatting sqref="G60">
    <cfRule type="expression" dxfId="86" priority="6" stopIfTrue="1">
      <formula>AND(B57&gt;2)</formula>
    </cfRule>
  </conditionalFormatting>
  <conditionalFormatting sqref="G48">
    <cfRule type="expression" dxfId="85" priority="7" stopIfTrue="1">
      <formula>AND(B57&gt;2)</formula>
    </cfRule>
  </conditionalFormatting>
  <conditionalFormatting sqref="G51">
    <cfRule type="expression" dxfId="84" priority="8" stopIfTrue="1">
      <formula>AND(B57&gt;2)</formula>
    </cfRule>
  </conditionalFormatting>
  <conditionalFormatting sqref="G50">
    <cfRule type="expression" dxfId="83" priority="9" stopIfTrue="1">
      <formula>AND(B57&gt;2)</formula>
    </cfRule>
  </conditionalFormatting>
  <conditionalFormatting sqref="E66">
    <cfRule type="expression" dxfId="82" priority="10" stopIfTrue="1">
      <formula>SUM(C40,C66)&lt;0</formula>
    </cfRule>
  </conditionalFormatting>
  <conditionalFormatting sqref="D38">
    <cfRule type="cellIs" dxfId="81" priority="11" stopIfTrue="1" operator="notBetween">
      <formula>0</formula>
      <formula>-0.13</formula>
    </cfRule>
  </conditionalFormatting>
  <conditionalFormatting sqref="F57">
    <cfRule type="expression" dxfId="80" priority="12" stopIfTrue="1">
      <formula>AND(F56=0,F57&gt;0)</formula>
    </cfRule>
    <cfRule type="expression" dxfId="79" priority="13" stopIfTrue="1">
      <formula>AND(F56&gt;0,F57=0)</formula>
    </cfRule>
  </conditionalFormatting>
  <dataValidations count="20"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allowBlank="1" showInputMessage="1" showErrorMessage="1" errorTitle="RVO zu Unterhaltsabsetzbetrag:" error="Eingabe derzeit auf 0 bis 2.000,- beschränkt!" sqref="F59">
      <formula1>0</formula1>
      <formula2>2000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KiFB:" error="Die Eingabe erlaubt einen negativen Wert von -2200,- bis 0!" sqref="C51">
      <formula1>-2200</formula1>
      <formula2>0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: Fehler zu Einnahme!" error="Werte zwischen Null und 999.999,- erlaubt!" sqref="C82 B3:B10">
      <formula1>0</formula1>
      <formula2>999999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Ausgabe!" error="Nur negative Werte zwischen Null und &quot;Minus&quot;  -999.999,- erlaubt!" sqref="C79:C80 B84 B14:B33">
      <formula1>-999999</formula1>
      <formula2>0</formula2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list" allowBlank="1" showInputMessage="1" showErrorMessage="1" errorTitle="RVO zu Kinderzuschlag:" error="Eingabe lt. Liste. Die Werte steigen nach Anzahl der Kinder!" sqref="F57">
      <formula1>"0,130,305,525,745,965,1185,1405"</formula1>
    </dataValidation>
    <dataValidation type="list" operator="equal" allowBlank="1" showInputMessage="1" showErrorMessage="1" errorTitle="RVO zu Absetzbetrag:" error="Wert Null oder 364 gefordert!" sqref="F56">
      <formula1>"0,364"</formula1>
    </dataValidation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</dataValidations>
  <hyperlinks>
    <hyperlink ref="F36" r:id="rId1" display="www.rvo.at"/>
    <hyperlink ref="F63" r:id="rId2" display="www.rvo.at"/>
    <hyperlink ref="F71" r:id="rId3" display="www.rvo.at"/>
    <hyperlink ref="F78" r:id="rId4" display="www.rvo.at"/>
    <hyperlink ref="G43" r:id="rId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&amp;L&amp;8copyright © www.rvo.at</oddFooter>
  </headerFooter>
  <rowBreaks count="1" manualBreakCount="1">
    <brk id="62" max="5" man="1"/>
  </rowBreaks>
  <legacyDrawing r:id="rId7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8"/>
  <sheetViews>
    <sheetView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88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20.25" customHeight="1" thickTop="1">
      <c r="A35" s="10"/>
      <c r="B35" s="11"/>
      <c r="C35" s="11"/>
      <c r="D35" s="12"/>
      <c r="E35" s="13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30"/>
    </row>
    <row r="40" spans="1:9">
      <c r="A40" s="16" t="s">
        <v>89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-8.48</v>
      </c>
      <c r="C42" s="52">
        <f>ROUND(B42*12,2)</f>
        <v>-101.76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-499.20400000000001</v>
      </c>
      <c r="C43" s="52">
        <f>B43*12</f>
        <v>-5990.4480000000003</v>
      </c>
      <c r="D43" s="69">
        <v>-0.185</v>
      </c>
      <c r="E43" s="44">
        <v>673.17</v>
      </c>
      <c r="F43" s="119">
        <v>5180</v>
      </c>
      <c r="G43" s="127" t="s">
        <v>73</v>
      </c>
    </row>
    <row r="44" spans="1:9" ht="13.2" outlineLevel="1">
      <c r="A44" s="117" t="s">
        <v>79</v>
      </c>
      <c r="B44" s="52">
        <f>IF(B$41&lt;E44,E44*D44,IF(B$41&gt;F44,F44*D44,B$41*D44))</f>
        <v>-206.42760000000001</v>
      </c>
      <c r="C44" s="52">
        <f>B44*12</f>
        <v>-2477.1312000000003</v>
      </c>
      <c r="D44" s="69">
        <v>-7.6499999999999999E-2</v>
      </c>
      <c r="E44" s="44">
        <v>689.81</v>
      </c>
      <c r="F44" s="119">
        <v>5180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-39.626999999999995</v>
      </c>
      <c r="C45" s="52">
        <f>B45*12</f>
        <v>-475.52399999999994</v>
      </c>
      <c r="D45" s="69">
        <v>-1.5299999999999999E-2</v>
      </c>
      <c r="E45" s="44">
        <v>2590</v>
      </c>
      <c r="F45" s="119">
        <v>2590</v>
      </c>
      <c r="G45" s="115"/>
    </row>
    <row r="46" spans="1:9" outlineLevel="1">
      <c r="A46" s="118" t="s">
        <v>98</v>
      </c>
      <c r="B46" s="52">
        <f>IF(B$41&lt;E46,E46*D46,IF(B$41&gt;F46,F46*D46,B$41*D46))</f>
        <v>-155.4</v>
      </c>
      <c r="C46" s="52">
        <f>B46*12</f>
        <v>-1864.8000000000002</v>
      </c>
      <c r="D46" s="69">
        <v>-0.06</v>
      </c>
      <c r="E46" s="44">
        <v>2590</v>
      </c>
      <c r="F46" s="119">
        <v>2590</v>
      </c>
    </row>
    <row r="47" spans="1:9">
      <c r="A47" s="32" t="s">
        <v>7</v>
      </c>
      <c r="B47" s="47">
        <f>ROUND(SUM(B42:B46),2)</f>
        <v>-909.14</v>
      </c>
      <c r="C47" s="47">
        <f>ROUND(SUM(C42:C46),2)</f>
        <v>-10909.66</v>
      </c>
      <c r="D47" s="48">
        <f>ROUND(C47/C37,3)</f>
        <v>-0.39200000000000002</v>
      </c>
      <c r="E47" s="33"/>
      <c r="F47" s="33"/>
    </row>
    <row r="48" spans="1:9" ht="13.5" customHeight="1">
      <c r="A48" s="70" t="s">
        <v>45</v>
      </c>
      <c r="B48" s="50">
        <f>SUM(B41,B47)</f>
        <v>1789.2600000000002</v>
      </c>
      <c r="C48" s="50">
        <f>SUM(C37:C40,C47)</f>
        <v>21471.14</v>
      </c>
      <c r="D48" s="51">
        <f>ROUND(C48/C37,3)</f>
        <v>0.77100000000000002</v>
      </c>
      <c r="E48" s="71" t="s">
        <v>46</v>
      </c>
      <c r="F48" s="71" t="s">
        <v>47</v>
      </c>
      <c r="G48" s="72" t="str">
        <f>IF(B57&gt;2,"MKZ","")</f>
        <v/>
      </c>
      <c r="H48" s="15"/>
      <c r="I48" s="15"/>
    </row>
    <row r="49" spans="1:9" ht="13.5" customHeight="1">
      <c r="A49" s="73" t="s">
        <v>48</v>
      </c>
      <c r="B49" s="73"/>
      <c r="C49" s="74">
        <f>IF(ISBLANK(E49),-60,ROUND(MIN(-60,IF(C48&lt;36400,MIN(E49,F49)/-4,((60000-C48)*(MIN(E49,F49)/4-60)/23600+60)*-1)),2))</f>
        <v>-60</v>
      </c>
      <c r="D49" s="3"/>
      <c r="E49" s="75"/>
      <c r="F49" s="76">
        <f>IF(B56=0,2920,IF(B57&lt;3,5840,IF(G49="ohne MKZ",5840,7300)))</f>
        <v>2920</v>
      </c>
      <c r="G49" s="77"/>
      <c r="H49" s="15"/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für",IF(ISBLANK(G51),ROUND((B57-2)*12,0),""),"")</f>
        <v/>
      </c>
      <c r="H50" s="15"/>
      <c r="I50" s="15"/>
    </row>
    <row r="51" spans="1:9">
      <c r="A51" s="19" t="s">
        <v>87</v>
      </c>
      <c r="B51" s="19"/>
      <c r="C51" s="45"/>
      <c r="D51" s="16"/>
      <c r="E51" s="120"/>
      <c r="F51" s="21"/>
      <c r="G51" s="102"/>
      <c r="H51" s="15"/>
      <c r="I51" s="15"/>
    </row>
    <row r="52" spans="1:9" hidden="1">
      <c r="A52" s="79" t="s">
        <v>50</v>
      </c>
      <c r="B52" s="79"/>
      <c r="C52" s="80">
        <f>ROUND(IF(SUM(C48:C51)&lt;0,0,SUM(C48:C51)),2)</f>
        <v>21411.14</v>
      </c>
      <c r="D52" s="81"/>
      <c r="E52" s="82"/>
      <c r="F52" s="83">
        <f>ROUND(IF(C52&gt;36400,0.12,IF(C52&gt;14600,0.1,IF(C52&gt;7300,0.08,0.06)))-SUM(B56/100,B57/100),3)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2141.11</v>
      </c>
      <c r="G53" s="103"/>
      <c r="H53" s="15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94</v>
      </c>
      <c r="B55" s="86">
        <v>1</v>
      </c>
      <c r="C55" s="80">
        <f>ROUND(IF(SUM(C52:C54)&lt;0,0,SUM(C52:C54)),2)</f>
        <v>21411.14</v>
      </c>
      <c r="E55" s="87">
        <f>F55/C55</f>
        <v>-0.1774809748570137</v>
      </c>
      <c r="F55" s="23">
        <f>ROUND(IF(C55&lt;=11000,0,IF(C55&lt;=25000,(C55-11000)*5110/14000,IF(C55&lt;=60000,(C55-25000)*15125/35000+5110,(C55-60000)*0.5+20235)))*-1,2)</f>
        <v>-3800.07</v>
      </c>
      <c r="G55" s="103"/>
    </row>
    <row r="56" spans="1:9" s="20" customFormat="1">
      <c r="A56" s="64" t="str">
        <f>IF(SUM(B56:B57)=1,"Ek Ehe-/Lebenspartner &lt; 6000,-/Jahr","Alleinverdiener, -erzieherabsetzbetrag")</f>
        <v>Alleinverdiener, -erzieherabsetzbetrag</v>
      </c>
      <c r="B56" s="88">
        <f>IF(ISBLANK(F56),0,1)</f>
        <v>0</v>
      </c>
      <c r="C56" s="89"/>
      <c r="E56" s="87">
        <f>F56/C55</f>
        <v>0</v>
      </c>
      <c r="F56" s="90"/>
      <c r="G56" s="103"/>
    </row>
    <row r="57" spans="1:9" s="20" customFormat="1">
      <c r="A57" s="19" t="s">
        <v>52</v>
      </c>
      <c r="B57" s="88">
        <f>IF(F57=130,1,IF(F57=305,2,IF(F57=525,3,IF(F57=745,4,IF(F57=965,5,IF(F57=1185,6,IF(F57=1405,7,0)))))))</f>
        <v>0</v>
      </c>
      <c r="C57" s="21"/>
      <c r="D57" s="19"/>
      <c r="E57" s="87">
        <f>F57/C55</f>
        <v>0</v>
      </c>
      <c r="F57" s="90"/>
      <c r="G57" s="103"/>
    </row>
    <row r="58" spans="1:9" s="20" customFormat="1" hidden="1">
      <c r="A58" s="79" t="s">
        <v>53</v>
      </c>
      <c r="B58" s="79"/>
      <c r="C58" s="80"/>
      <c r="D58" s="79"/>
      <c r="E58" s="91"/>
      <c r="F58" s="80">
        <f>ROUND(IF(F57=0,IF(SUM(F55:F56)&gt;0,0,SUM(F55:F57)),SUM(F55:F57)),2)</f>
        <v>-3800.07</v>
      </c>
      <c r="G58" s="103"/>
    </row>
    <row r="59" spans="1:9" s="20" customFormat="1">
      <c r="A59" s="25" t="s">
        <v>54</v>
      </c>
      <c r="B59" s="92">
        <f>IF(F59&gt;0,1,0)</f>
        <v>0</v>
      </c>
      <c r="C59" s="74"/>
      <c r="E59" s="87">
        <f>F59/C55</f>
        <v>0</v>
      </c>
      <c r="F59" s="90"/>
      <c r="G59" s="103"/>
    </row>
    <row r="60" spans="1:9" s="20" customFormat="1">
      <c r="A60" s="93" t="str">
        <f>IF(F60&lt;=0,"Einkommensteuer (ESt) des Jahres","ESt-Gutschrift aus Negativsteuer")</f>
        <v>Einkommensteuer (ESt) des Jahres</v>
      </c>
      <c r="B60" s="93"/>
      <c r="C60" s="80">
        <f>F60</f>
        <v>-3800.07</v>
      </c>
      <c r="D60" s="51">
        <f>ROUND(C60/C37,3)</f>
        <v>-0.13600000000000001</v>
      </c>
      <c r="E60" s="91">
        <f>SUM(E55:E59)</f>
        <v>-0.1774809748570137</v>
      </c>
      <c r="F60" s="80">
        <f>ROUND(IF(F58&gt;0,F58,IF(SUM(F58:F59)&gt;0,0,SUM(F58:F59))),2)</f>
        <v>-3800.07</v>
      </c>
      <c r="G60" s="74" t="str">
        <f>IF(G49="inkl. MKZ für",IF(B57&gt;2,IF(ISBLANK(G51),ROUND(G50*20,2),ROUND(G51*20,2)),""),"")</f>
        <v/>
      </c>
    </row>
    <row r="61" spans="1:9" s="20" customFormat="1" ht="13.5" customHeight="1" thickBot="1">
      <c r="A61" s="94" t="s">
        <v>93</v>
      </c>
      <c r="B61" s="95"/>
      <c r="C61" s="96">
        <f>SUM(C55:C60)</f>
        <v>17611.07</v>
      </c>
      <c r="D61" s="122">
        <f>ROUND(C61/C37,3)</f>
        <v>0.63300000000000001</v>
      </c>
      <c r="E61" s="323" t="str">
        <f>IF(C55&lt;=11000,"",CONCATENATE(" (Grenzsteuersatz .. ",IF(C55&lt;=25000,"36,5 %",IF(C55&lt;=60000,"43,2 %","50 %")),")"))</f>
        <v xml:space="preserve"> (Grenzsteuersatz .. 36,5 %)</v>
      </c>
      <c r="F61" s="323"/>
    </row>
    <row r="62" spans="1:9" s="20" customFormat="1" ht="29.25" customHeight="1" thickTop="1">
      <c r="A62" s="26"/>
      <c r="B62" s="26"/>
      <c r="C62" s="27"/>
      <c r="D62" s="27"/>
      <c r="E62" s="27"/>
      <c r="F62" s="39"/>
    </row>
    <row r="63" spans="1:9" ht="12">
      <c r="A63" s="1" t="s">
        <v>63</v>
      </c>
      <c r="B63" s="2" t="s">
        <v>0</v>
      </c>
      <c r="C63" s="2" t="s">
        <v>1</v>
      </c>
      <c r="D63" s="34" t="s">
        <v>4</v>
      </c>
      <c r="E63" s="35"/>
      <c r="F63" s="104" t="s">
        <v>58</v>
      </c>
    </row>
    <row r="64" spans="1:9">
      <c r="A64" s="4" t="s">
        <v>5</v>
      </c>
      <c r="B64" s="53">
        <f>ROUND(B11,2)</f>
        <v>3000</v>
      </c>
      <c r="C64" s="18">
        <f>B64*12</f>
        <v>36000</v>
      </c>
      <c r="D64" s="57">
        <v>1</v>
      </c>
    </row>
    <row r="65" spans="1:6">
      <c r="A65" s="4" t="s">
        <v>92</v>
      </c>
      <c r="B65" s="54">
        <f>ROUND(SUM(B14:B16,B18:B23,B25:B30,B32:B33),2)</f>
        <v>0</v>
      </c>
      <c r="C65" s="18">
        <f>B65*12</f>
        <v>0</v>
      </c>
      <c r="D65" s="57">
        <f>ROUND(B65/B64,3)</f>
        <v>0</v>
      </c>
    </row>
    <row r="66" spans="1:6">
      <c r="A66" s="16" t="s">
        <v>7</v>
      </c>
      <c r="B66" s="53">
        <f>ROUND(B47,2)</f>
        <v>-909.14</v>
      </c>
      <c r="C66" s="18">
        <f>B66*12</f>
        <v>-10909.68</v>
      </c>
      <c r="D66" s="57">
        <f>ROUND(B66/B64,3)</f>
        <v>-0.30299999999999999</v>
      </c>
      <c r="E66" s="123" t="str">
        <f>CONCATENATE(" (davon  ",ROUND(SUM(C40,C66),2)," Nachforderung)")</f>
        <v xml:space="preserve"> (davon  -2749,68 Nachforderung)</v>
      </c>
    </row>
    <row r="67" spans="1:6">
      <c r="A67" s="4" t="s">
        <v>90</v>
      </c>
      <c r="B67" s="53">
        <f>ROUND(C60/12,2)</f>
        <v>-316.67</v>
      </c>
      <c r="C67" s="18">
        <f>B67*12</f>
        <v>-3800.04</v>
      </c>
      <c r="D67" s="57">
        <f>ROUND(B67/B64,3)</f>
        <v>-0.106</v>
      </c>
    </row>
    <row r="68" spans="1:6" ht="12" thickBot="1">
      <c r="A68" s="8" t="s">
        <v>55</v>
      </c>
      <c r="B68" s="55">
        <f>ROUND(SUM(B64:B67),2)</f>
        <v>1774.19</v>
      </c>
      <c r="C68" s="28">
        <f>B68*12</f>
        <v>21290.28</v>
      </c>
      <c r="D68" s="58">
        <f>ROUND(B68/B64,4)</f>
        <v>0.59140000000000004</v>
      </c>
      <c r="E68" s="38"/>
      <c r="F68" s="37"/>
    </row>
    <row r="69" spans="1:6" ht="12.6" thickTop="1" thickBot="1">
      <c r="A69" s="29" t="s">
        <v>56</v>
      </c>
      <c r="B69" s="56">
        <f>ROUND(B68*12/14,2)</f>
        <v>1520.73</v>
      </c>
      <c r="C69" s="97"/>
      <c r="D69" s="98"/>
      <c r="E69" s="99"/>
      <c r="F69" s="99"/>
    </row>
    <row r="70" spans="1:6" s="20" customFormat="1" ht="25.5" customHeight="1" thickTop="1">
      <c r="A70" s="26"/>
      <c r="B70" s="26"/>
      <c r="C70" s="27"/>
      <c r="D70" s="27"/>
      <c r="E70" s="27"/>
      <c r="F70" s="39"/>
    </row>
    <row r="71" spans="1:6" ht="13.2">
      <c r="A71" s="108" t="s">
        <v>64</v>
      </c>
      <c r="B71" s="2" t="s">
        <v>0</v>
      </c>
      <c r="C71" s="2" t="s">
        <v>1</v>
      </c>
      <c r="D71" s="34"/>
      <c r="E71" s="35"/>
      <c r="F71" s="104" t="s">
        <v>58</v>
      </c>
    </row>
    <row r="72" spans="1:6" ht="13.5" customHeight="1">
      <c r="A72" s="20" t="s">
        <v>59</v>
      </c>
      <c r="B72" s="105">
        <f>C72/12</f>
        <v>2090.8616666666667</v>
      </c>
      <c r="C72" s="105">
        <f>C11+C34+C47-C17-C31-C33</f>
        <v>25090.34</v>
      </c>
    </row>
    <row r="73" spans="1:6">
      <c r="A73" s="20" t="s">
        <v>60</v>
      </c>
      <c r="B73" s="105">
        <f>C73/12</f>
        <v>0</v>
      </c>
      <c r="C73" s="105">
        <f>C33</f>
        <v>0</v>
      </c>
    </row>
    <row r="74" spans="1:6">
      <c r="A74" s="93" t="s">
        <v>61</v>
      </c>
      <c r="B74" s="80">
        <f>SUM(B72:B73)</f>
        <v>2090.8616666666667</v>
      </c>
      <c r="C74" s="80">
        <f>SUM(C72:C73)</f>
        <v>25090.34</v>
      </c>
    </row>
    <row r="75" spans="1:6">
      <c r="A75" s="20" t="s">
        <v>62</v>
      </c>
      <c r="B75" s="105">
        <f>C75/12</f>
        <v>0</v>
      </c>
      <c r="C75" s="105">
        <f>C17</f>
        <v>0</v>
      </c>
    </row>
    <row r="76" spans="1:6" ht="12" thickBot="1">
      <c r="A76" s="106" t="str">
        <f>IF(C76&lt;0,"   V e r l u s t","   G e w i n n   ( Überschuß)")</f>
        <v xml:space="preserve">   G e w i n n   ( Überschuß)</v>
      </c>
      <c r="B76" s="107">
        <f>ROUND(SUM(B74:B75),2)</f>
        <v>2090.86</v>
      </c>
      <c r="C76" s="107">
        <f>ROUND(SUM(C74:C75),2)</f>
        <v>25090.34</v>
      </c>
      <c r="D76" s="109"/>
      <c r="E76" s="37"/>
      <c r="F76" s="37"/>
    </row>
    <row r="77" spans="1:6" s="20" customFormat="1" ht="25.5" customHeight="1" thickTop="1">
      <c r="A77" s="26"/>
      <c r="B77" s="26"/>
      <c r="C77" s="27"/>
      <c r="D77" s="27"/>
      <c r="E77" s="27"/>
      <c r="F77" s="39"/>
    </row>
    <row r="78" spans="1:6" ht="13.2">
      <c r="A78" s="108" t="s">
        <v>65</v>
      </c>
      <c r="B78" s="2" t="s">
        <v>0</v>
      </c>
      <c r="C78" s="2" t="s">
        <v>1</v>
      </c>
      <c r="D78" s="34"/>
      <c r="E78" s="35"/>
      <c r="F78" s="104" t="s">
        <v>58</v>
      </c>
    </row>
    <row r="79" spans="1:6" ht="12.75" customHeight="1">
      <c r="A79" s="4" t="s">
        <v>66</v>
      </c>
      <c r="C79" s="113"/>
    </row>
    <row r="80" spans="1:6">
      <c r="A80" s="110" t="s">
        <v>67</v>
      </c>
      <c r="B80" s="111"/>
      <c r="C80" s="46"/>
    </row>
    <row r="81" spans="1:6" ht="14.25" customHeight="1">
      <c r="A81" s="4" t="s">
        <v>68</v>
      </c>
      <c r="C81" s="18">
        <f>SUM(C79:C80)</f>
        <v>0</v>
      </c>
    </row>
    <row r="82" spans="1:6">
      <c r="A82" s="110" t="s">
        <v>69</v>
      </c>
      <c r="B82" s="111"/>
      <c r="C82" s="46"/>
      <c r="D82" s="114"/>
      <c r="E82" s="112">
        <f>SUM(C81:C82)</f>
        <v>0</v>
      </c>
    </row>
    <row r="83" spans="1:6" ht="17.25" customHeight="1">
      <c r="A83" s="4" t="s">
        <v>70</v>
      </c>
      <c r="B83" s="18">
        <f>C83/12</f>
        <v>1774.1899999999998</v>
      </c>
      <c r="C83" s="18">
        <f>C68</f>
        <v>21290.28</v>
      </c>
    </row>
    <row r="84" spans="1:6">
      <c r="A84" s="110" t="s">
        <v>71</v>
      </c>
      <c r="B84" s="46"/>
      <c r="C84" s="112">
        <f>B84*12</f>
        <v>0</v>
      </c>
      <c r="D84" s="114"/>
      <c r="E84" s="112">
        <f>SUM(C83:C84)</f>
        <v>21290.28</v>
      </c>
    </row>
    <row r="85" spans="1:6" ht="13.5" customHeight="1">
      <c r="A85" s="4" t="s">
        <v>72</v>
      </c>
      <c r="B85" s="18">
        <f>C85/12</f>
        <v>0</v>
      </c>
      <c r="C85" s="113"/>
      <c r="E85" s="18">
        <f>C85</f>
        <v>0</v>
      </c>
    </row>
    <row r="86" spans="1:6" ht="15" customHeight="1" thickBot="1">
      <c r="A86" s="106" t="str">
        <f>IF(C86&lt;0,"   U n t e r d e c k u n g   gesamt","   Ü b e r d e c k u n g   gesamt")</f>
        <v xml:space="preserve">   Ü b e r d e c k u n g   gesamt</v>
      </c>
      <c r="B86" s="9"/>
      <c r="C86" s="28">
        <f>SUM(C81:C85)</f>
        <v>21290.28</v>
      </c>
      <c r="D86" s="109"/>
      <c r="E86" s="28">
        <f>SUM(E82:E85)</f>
        <v>21290.28</v>
      </c>
      <c r="F86" s="37"/>
    </row>
    <row r="87" spans="1:6" s="20" customFormat="1" ht="25.5" customHeight="1" thickTop="1">
      <c r="A87" s="26"/>
      <c r="B87" s="26"/>
      <c r="C87" s="27"/>
      <c r="D87" s="27"/>
      <c r="E87" s="27"/>
      <c r="F87" s="39"/>
    </row>
    <row r="88" spans="1:6">
      <c r="C88" s="5"/>
    </row>
    <row r="89" spans="1:6">
      <c r="C89" s="5"/>
    </row>
    <row r="90" spans="1:6">
      <c r="C90" s="5"/>
    </row>
    <row r="91" spans="1:6">
      <c r="C91" s="5"/>
    </row>
    <row r="92" spans="1:6">
      <c r="C92" s="5"/>
    </row>
    <row r="93" spans="1:6">
      <c r="C93" s="5"/>
    </row>
    <row r="94" spans="1:6">
      <c r="C94" s="5"/>
    </row>
    <row r="95" spans="1:6">
      <c r="C95" s="5"/>
    </row>
    <row r="96" spans="1:6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</sheetData>
  <sheetProtection password="C837" sheet="1" objects="1" scenarios="1" autoFilter="0"/>
  <mergeCells count="4">
    <mergeCell ref="D42:F42"/>
    <mergeCell ref="A1:D1"/>
    <mergeCell ref="E1:F1"/>
    <mergeCell ref="E61:F61"/>
  </mergeCells>
  <phoneticPr fontId="7" type="noConversion"/>
  <conditionalFormatting sqref="F56">
    <cfRule type="expression" dxfId="78" priority="1" stopIfTrue="1">
      <formula>AND(F56=0,F57&gt;0)</formula>
    </cfRule>
  </conditionalFormatting>
  <conditionalFormatting sqref="B56">
    <cfRule type="expression" dxfId="77" priority="2" stopIfTrue="1">
      <formula>AND(F56=0,F57&gt;0)</formula>
    </cfRule>
  </conditionalFormatting>
  <conditionalFormatting sqref="B57">
    <cfRule type="expression" dxfId="76" priority="3" stopIfTrue="1">
      <formula>AND(F56=0,F57&gt;0)</formula>
    </cfRule>
  </conditionalFormatting>
  <conditionalFormatting sqref="G49">
    <cfRule type="expression" dxfId="75" priority="4" stopIfTrue="1">
      <formula>AND(B57&gt;2)</formula>
    </cfRule>
  </conditionalFormatting>
  <conditionalFormatting sqref="G52:G59">
    <cfRule type="expression" dxfId="74" priority="5" stopIfTrue="1">
      <formula>AND(B$57&gt;2)</formula>
    </cfRule>
  </conditionalFormatting>
  <conditionalFormatting sqref="G60">
    <cfRule type="expression" dxfId="73" priority="6" stopIfTrue="1">
      <formula>AND(B57&gt;2)</formula>
    </cfRule>
  </conditionalFormatting>
  <conditionalFormatting sqref="G48">
    <cfRule type="expression" dxfId="72" priority="7" stopIfTrue="1">
      <formula>AND(B57&gt;2)</formula>
    </cfRule>
  </conditionalFormatting>
  <conditionalFormatting sqref="G51">
    <cfRule type="expression" dxfId="71" priority="8" stopIfTrue="1">
      <formula>AND(B57&gt;2)</formula>
    </cfRule>
  </conditionalFormatting>
  <conditionalFormatting sqref="G50">
    <cfRule type="expression" dxfId="70" priority="9" stopIfTrue="1">
      <formula>AND(B57&gt;2)</formula>
    </cfRule>
  </conditionalFormatting>
  <conditionalFormatting sqref="E66">
    <cfRule type="expression" dxfId="69" priority="10" stopIfTrue="1">
      <formula>SUM(C40,C66)&lt;0</formula>
    </cfRule>
  </conditionalFormatting>
  <conditionalFormatting sqref="D38">
    <cfRule type="cellIs" dxfId="68" priority="11" stopIfTrue="1" operator="notBetween">
      <formula>0</formula>
      <formula>-0.13</formula>
    </cfRule>
  </conditionalFormatting>
  <conditionalFormatting sqref="F57">
    <cfRule type="expression" dxfId="67" priority="12" stopIfTrue="1">
      <formula>AND(F56=0,F57&gt;0)</formula>
    </cfRule>
    <cfRule type="expression" dxfId="66" priority="13" stopIfTrue="1">
      <formula>AND(F56&gt;0,F57=0)</formula>
    </cfRule>
  </conditionalFormatting>
  <dataValidations count="20"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  <dataValidation type="list" operator="equal" allowBlank="1" showInputMessage="1" showErrorMessage="1" errorTitle="RVO zu Absetzbetrag:" error="Wert Null oder 364 gefordert!" sqref="F56">
      <formula1>"0,364"</formula1>
    </dataValidation>
    <dataValidation type="list" allowBlank="1" showInputMessage="1" showErrorMessage="1" errorTitle="RVO zu Kinderzuschlag:" error="Eingabe lt. Liste. Die Werte steigen nach Anzahl der Kinder!" sqref="F57">
      <formula1>"0,130,305,525,745,965,1185,1405"</formula1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C79:C80 B84 B14:B33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Einnahme!" error="Werte zwischen Null und 999.999,- erlaubt!" sqref="C82 B3:B1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51">
      <formula1>-2200</formula1>
      <formula2>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59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</dataValidations>
  <hyperlinks>
    <hyperlink ref="F36" r:id="rId1" display="www.rvo.at"/>
    <hyperlink ref="F63" r:id="rId2" display="www.rvo.at"/>
    <hyperlink ref="F71" r:id="rId3" display="www.rvo.at"/>
    <hyperlink ref="F78" r:id="rId4" display="www.rvo.at"/>
    <hyperlink ref="G43" r:id="rId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&amp;L&amp;8&amp;Z&amp;F&amp;R&amp;8(c) www.rvo.at</oddFooter>
  </headerFooter>
  <rowBreaks count="1" manualBreakCount="1">
    <brk id="62" max="5" man="1"/>
  </rowBreaks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Normal="100" workbookViewId="0">
      <pane ySplit="1" topLeftCell="A2" activePane="bottomLeft" state="frozen"/>
      <selection activeCell="G24" sqref="G24"/>
      <selection pane="bottomLeft" activeCell="G68" sqref="G68"/>
    </sheetView>
  </sheetViews>
  <sheetFormatPr baseColWidth="10" defaultColWidth="11.44140625" defaultRowHeight="11.4"/>
  <cols>
    <col min="1" max="1" width="12.44140625" style="168" customWidth="1"/>
    <col min="2" max="2" width="11.21875" style="169" customWidth="1"/>
    <col min="3" max="3" width="12.33203125" style="138" customWidth="1"/>
    <col min="4" max="4" width="11.5546875" style="167" customWidth="1"/>
    <col min="5" max="5" width="11.6640625" style="138" customWidth="1"/>
    <col min="6" max="6" width="10.6640625" style="138" customWidth="1"/>
    <col min="7" max="7" width="11.44140625" style="138" bestFit="1" customWidth="1"/>
    <col min="8" max="16384" width="11.44140625" style="138"/>
  </cols>
  <sheetData>
    <row r="1" spans="1:10" ht="15" customHeight="1">
      <c r="A1" s="324" t="s">
        <v>189</v>
      </c>
      <c r="B1" s="324"/>
      <c r="C1" s="324"/>
      <c r="D1" s="324"/>
      <c r="E1" s="324"/>
      <c r="F1" s="318" t="s">
        <v>58</v>
      </c>
      <c r="G1" s="137" t="s">
        <v>58</v>
      </c>
    </row>
    <row r="2" spans="1:10" ht="17.399999999999999" customHeight="1">
      <c r="A2" s="139" t="s">
        <v>190</v>
      </c>
      <c r="B2" s="140" t="s">
        <v>191</v>
      </c>
      <c r="C2" s="140" t="s">
        <v>106</v>
      </c>
      <c r="D2" s="141" t="s">
        <v>107</v>
      </c>
      <c r="E2" s="141" t="s">
        <v>108</v>
      </c>
      <c r="G2" s="142"/>
      <c r="H2" s="143"/>
    </row>
    <row r="3" spans="1:10">
      <c r="A3" s="144">
        <v>13308</v>
      </c>
      <c r="B3" s="304">
        <v>0</v>
      </c>
      <c r="C3" s="146">
        <f>0-A3</f>
        <v>-13308</v>
      </c>
      <c r="D3" s="147">
        <v>0</v>
      </c>
      <c r="E3" s="304">
        <v>0</v>
      </c>
      <c r="F3" s="143"/>
      <c r="I3" s="145"/>
    </row>
    <row r="4" spans="1:10">
      <c r="A4" s="144">
        <v>21617</v>
      </c>
      <c r="B4" s="304">
        <v>-0.2</v>
      </c>
      <c r="C4" s="146">
        <f t="shared" ref="C4:C8" si="0">A3-A4</f>
        <v>-8309</v>
      </c>
      <c r="D4" s="147">
        <f>B4*C4</f>
        <v>1661.8000000000002</v>
      </c>
      <c r="E4" s="304">
        <f t="shared" ref="E4:E9" si="1">B3-B4</f>
        <v>0.2</v>
      </c>
      <c r="F4" s="145"/>
      <c r="I4" s="145"/>
    </row>
    <row r="5" spans="1:10">
      <c r="A5" s="144">
        <v>35836</v>
      </c>
      <c r="B5" s="304">
        <v>-0.3</v>
      </c>
      <c r="C5" s="146">
        <f t="shared" si="0"/>
        <v>-14219</v>
      </c>
      <c r="D5" s="147">
        <f>B5*C5+D4</f>
        <v>5927.5</v>
      </c>
      <c r="E5" s="304">
        <f t="shared" si="1"/>
        <v>9.9999999999999978E-2</v>
      </c>
      <c r="F5" s="145"/>
      <c r="I5" s="145"/>
    </row>
    <row r="6" spans="1:10">
      <c r="A6" s="144">
        <v>69166</v>
      </c>
      <c r="B6" s="304">
        <v>-0.4</v>
      </c>
      <c r="C6" s="146">
        <f t="shared" si="0"/>
        <v>-33330</v>
      </c>
      <c r="D6" s="147">
        <f>B6*C6+D5</f>
        <v>19259.5</v>
      </c>
      <c r="E6" s="304">
        <f t="shared" si="1"/>
        <v>0.10000000000000003</v>
      </c>
      <c r="F6" s="145"/>
      <c r="G6" s="145"/>
    </row>
    <row r="7" spans="1:10">
      <c r="A7" s="144">
        <v>103072</v>
      </c>
      <c r="B7" s="304">
        <v>-0.48</v>
      </c>
      <c r="C7" s="146">
        <f t="shared" si="0"/>
        <v>-33906</v>
      </c>
      <c r="D7" s="147">
        <f>B7*C7+D6</f>
        <v>35534.379999999997</v>
      </c>
      <c r="E7" s="304">
        <f t="shared" si="1"/>
        <v>7.999999999999996E-2</v>
      </c>
      <c r="F7" s="145"/>
      <c r="G7" s="145"/>
    </row>
    <row r="8" spans="1:10">
      <c r="A8" s="144">
        <v>1000000</v>
      </c>
      <c r="B8" s="304">
        <v>-0.5</v>
      </c>
      <c r="C8" s="146">
        <f t="shared" si="0"/>
        <v>-896928</v>
      </c>
      <c r="D8" s="147">
        <f>B8*C8+D7</f>
        <v>483998.38</v>
      </c>
      <c r="E8" s="304">
        <f t="shared" si="1"/>
        <v>2.0000000000000018E-2</v>
      </c>
      <c r="F8" s="145"/>
      <c r="G8" s="145"/>
    </row>
    <row r="9" spans="1:10">
      <c r="A9" s="148" t="s">
        <v>111</v>
      </c>
      <c r="B9" s="304">
        <v>-0.55000000000000004</v>
      </c>
      <c r="C9" s="149"/>
      <c r="D9" s="150"/>
      <c r="E9" s="304">
        <f t="shared" si="1"/>
        <v>5.0000000000000044E-2</v>
      </c>
      <c r="F9" s="145"/>
      <c r="G9" s="145"/>
      <c r="H9" s="147"/>
      <c r="I9" s="147"/>
    </row>
    <row r="10" spans="1:10">
      <c r="A10" s="151"/>
      <c r="B10" s="145"/>
      <c r="C10" s="149"/>
      <c r="D10" s="150"/>
      <c r="E10" s="145"/>
      <c r="F10" s="145"/>
      <c r="G10" s="145"/>
      <c r="H10" s="147"/>
      <c r="I10" s="147"/>
    </row>
    <row r="11" spans="1:10">
      <c r="A11" s="152" t="s">
        <v>112</v>
      </c>
      <c r="B11" s="153" t="s">
        <v>191</v>
      </c>
      <c r="C11" s="153" t="s">
        <v>192</v>
      </c>
      <c r="D11" s="154" t="s">
        <v>183</v>
      </c>
      <c r="E11" s="154" t="s">
        <v>193</v>
      </c>
      <c r="F11" s="154" t="s">
        <v>194</v>
      </c>
      <c r="G11" s="154" t="s">
        <v>193</v>
      </c>
    </row>
    <row r="12" spans="1:10" ht="18" customHeight="1">
      <c r="A12" s="156">
        <v>25000</v>
      </c>
      <c r="B12" s="305">
        <f>ROUND(IF(A12&lt;=A3,B3,IF(A12&lt;=A4,B4,IF(A12&lt;=A5,B5,IF(A12&lt;=A6,B6,IF(A12&lt;=A7,B7,IF(A12&lt;=A8,B8,B9)))))),3)</f>
        <v>-0.3</v>
      </c>
      <c r="C12" s="160">
        <f>ROUND(IF(A12&lt;13308,0,IF(A12&lt;21617,(A12-13308)*-0.2,IF(A12&lt;35836,(A12-21617)*-0.3-1661.8,IF(A12&lt;69166,(A12-35836)*-0.4-5927.5,IF(A12&lt;103072,(A12-69166)*-0.48-19259.5,IF(A12&lt;1000000,(A12-103072)*-0.5-35534.38,(A12-1000000)*-0.55-483998.38)))))),2)</f>
        <v>-2676.7</v>
      </c>
      <c r="D12" s="160">
        <f>ROUND(IF(A12&lt;12816,0,IF(A12&lt;20818,(A12-12816)*-0.2,IF(A12&lt;34513,(A12-20818)*-0.3-1600.4,IF(A12&lt;66612,(A12-34513)*-0.4-5708.9,IF(A12&lt;99266,(A12-66612)*-0.48-18548.5,IF(A12&lt;1000000,(A12-99266)*-0.5-34222.42,(A12-1000000)*-0.55-484589.42)))))),2)</f>
        <v>-2855</v>
      </c>
      <c r="E12" s="160">
        <f t="shared" ref="E12:E74" si="2">C12-D12</f>
        <v>178.30000000000018</v>
      </c>
      <c r="F12" s="172">
        <f>ROUND(D12/A12,4)</f>
        <v>-0.1142</v>
      </c>
      <c r="G12" s="172">
        <f t="shared" ref="G12:G74" si="3">ROUND(E12/A12,4)</f>
        <v>7.1000000000000004E-3</v>
      </c>
      <c r="I12" s="161" t="s">
        <v>118</v>
      </c>
      <c r="J12" s="138" t="s">
        <v>116</v>
      </c>
    </row>
    <row r="13" spans="1:10">
      <c r="A13" s="162">
        <v>11000</v>
      </c>
      <c r="B13" s="256">
        <f>ROUND(IF(A13&lt;=11000,0,IF(A13&lt;=18000,"-25 %",IF(A13&lt;=31000,"-35 %",IF(A13&lt;=60000,"-42 %",IF(A13&lt;=90000,"-48 %",IF(A13&lt;=1000000,"-50 %","-55 %")))))),2)</f>
        <v>0</v>
      </c>
      <c r="C13" s="147">
        <f t="shared" ref="C13:C74" si="4">ROUND(IF(A13&lt;$A$3,0,IF(A13&lt;$A$4,(A13-$A$3)*$B$4,IF(A13&lt;$A$5,(A13-$A$4)*$B$5-$D$4,IF(A13&lt;$A$6,(A13-$A$5)*$B$6-$D$5,IF(A13&lt;$A$7,(A13-$A$6)*$B$7-$D$6,IF(A13&lt;$A$8,(A13-$A$7)*$B$8-$D$7,(A13-$A$8)*$B$9-$D$8)))))),2)</f>
        <v>0</v>
      </c>
      <c r="D13" s="147">
        <f>ROUND(IF(A13&lt;12816,0,IF(A13&lt;20818,(A13-12816)*-0.2,IF(A13&lt;34513,(A13-20818)*-0.3-1600.4,IF(A13&lt;66612,(A13-34513)*-0.4-5708.9,IF(A13&lt;99266,(A13-66612)*-0.48-18548.5,IF(A13&lt;1000000,(A13-99266)*-0.5-34222.42,(A13-1000000)*-0.55-484589.42)))))),2)</f>
        <v>0</v>
      </c>
      <c r="E13" s="165">
        <f t="shared" si="2"/>
        <v>0</v>
      </c>
      <c r="F13" s="319">
        <f t="shared" ref="F13:F74" si="5">ROUND(C13/A13,4)</f>
        <v>0</v>
      </c>
      <c r="G13" s="319">
        <f t="shared" si="3"/>
        <v>0</v>
      </c>
      <c r="J13" s="320" t="s">
        <v>117</v>
      </c>
    </row>
    <row r="14" spans="1:10">
      <c r="A14" s="162">
        <v>12000</v>
      </c>
      <c r="B14" s="256">
        <v>0</v>
      </c>
      <c r="C14" s="147">
        <f t="shared" si="4"/>
        <v>0</v>
      </c>
      <c r="D14" s="147">
        <f t="shared" ref="D14:D74" si="6">ROUND(IF(A14&lt;12816,0,IF(A14&lt;20818,(A14-12816)*-0.2,IF(A14&lt;34513,(A14-20818)*-0.3-1600.4,IF(A14&lt;66612,(A14-34513)*-0.4-5708.9,IF(A14&lt;99266,(A14-66612)*-0.48-18548.5,IF(A14&lt;1000000,(A14-99266)*-0.5-34222.42,(A14-1000000)*-0.55-484589.42)))))),2)</f>
        <v>0</v>
      </c>
      <c r="E14" s="165">
        <f t="shared" si="2"/>
        <v>0</v>
      </c>
      <c r="F14" s="319">
        <f>ROUND(D14/A14,4)</f>
        <v>0</v>
      </c>
      <c r="G14" s="319">
        <f t="shared" si="3"/>
        <v>0</v>
      </c>
    </row>
    <row r="15" spans="1:10">
      <c r="A15" s="162">
        <v>13000</v>
      </c>
      <c r="B15" s="256">
        <v>0</v>
      </c>
      <c r="C15" s="147">
        <f t="shared" si="4"/>
        <v>0</v>
      </c>
      <c r="D15" s="147">
        <f t="shared" si="6"/>
        <v>-36.799999999999997</v>
      </c>
      <c r="E15" s="165">
        <f t="shared" si="2"/>
        <v>36.799999999999997</v>
      </c>
      <c r="F15" s="319">
        <f t="shared" si="5"/>
        <v>0</v>
      </c>
      <c r="G15" s="319">
        <f t="shared" si="3"/>
        <v>2.8E-3</v>
      </c>
    </row>
    <row r="16" spans="1:10">
      <c r="A16" s="162">
        <v>14000</v>
      </c>
      <c r="B16" s="256">
        <v>-0.2</v>
      </c>
      <c r="C16" s="147">
        <f t="shared" si="4"/>
        <v>-138.4</v>
      </c>
      <c r="D16" s="147">
        <f t="shared" si="6"/>
        <v>-236.8</v>
      </c>
      <c r="E16" s="165">
        <f t="shared" si="2"/>
        <v>98.4</v>
      </c>
      <c r="F16" s="319">
        <f t="shared" si="5"/>
        <v>-9.9000000000000008E-3</v>
      </c>
      <c r="G16" s="319">
        <f t="shared" si="3"/>
        <v>7.0000000000000001E-3</v>
      </c>
    </row>
    <row r="17" spans="1:7">
      <c r="A17" s="162">
        <v>15000</v>
      </c>
      <c r="B17" s="256">
        <v>-0.2</v>
      </c>
      <c r="C17" s="147">
        <f t="shared" si="4"/>
        <v>-338.4</v>
      </c>
      <c r="D17" s="147">
        <f t="shared" si="6"/>
        <v>-436.8</v>
      </c>
      <c r="E17" s="165">
        <f t="shared" si="2"/>
        <v>98.400000000000034</v>
      </c>
      <c r="F17" s="319">
        <f t="shared" si="5"/>
        <v>-2.2599999999999999E-2</v>
      </c>
      <c r="G17" s="319">
        <f t="shared" si="3"/>
        <v>6.6E-3</v>
      </c>
    </row>
    <row r="18" spans="1:7">
      <c r="A18" s="162">
        <v>16000</v>
      </c>
      <c r="B18" s="256">
        <v>-0.2</v>
      </c>
      <c r="C18" s="147">
        <f t="shared" si="4"/>
        <v>-538.4</v>
      </c>
      <c r="D18" s="147">
        <f t="shared" si="6"/>
        <v>-636.79999999999995</v>
      </c>
      <c r="E18" s="165">
        <f t="shared" si="2"/>
        <v>98.399999999999977</v>
      </c>
      <c r="F18" s="319">
        <f t="shared" si="5"/>
        <v>-3.3700000000000001E-2</v>
      </c>
      <c r="G18" s="319">
        <f t="shared" si="3"/>
        <v>6.1999999999999998E-3</v>
      </c>
    </row>
    <row r="19" spans="1:7">
      <c r="A19" s="162">
        <v>17000</v>
      </c>
      <c r="B19" s="256">
        <v>-0.2</v>
      </c>
      <c r="C19" s="147">
        <f t="shared" si="4"/>
        <v>-738.4</v>
      </c>
      <c r="D19" s="147">
        <f t="shared" si="6"/>
        <v>-836.8</v>
      </c>
      <c r="E19" s="165">
        <f t="shared" si="2"/>
        <v>98.399999999999977</v>
      </c>
      <c r="F19" s="319">
        <f t="shared" si="5"/>
        <v>-4.3400000000000001E-2</v>
      </c>
      <c r="G19" s="319">
        <f t="shared" si="3"/>
        <v>5.7999999999999996E-3</v>
      </c>
    </row>
    <row r="20" spans="1:7">
      <c r="A20" s="162">
        <v>18000</v>
      </c>
      <c r="B20" s="256">
        <v>-0.2</v>
      </c>
      <c r="C20" s="147">
        <f t="shared" si="4"/>
        <v>-938.4</v>
      </c>
      <c r="D20" s="147">
        <f t="shared" si="6"/>
        <v>-1036.8</v>
      </c>
      <c r="E20" s="165">
        <f t="shared" si="2"/>
        <v>98.399999999999977</v>
      </c>
      <c r="F20" s="319">
        <f t="shared" si="5"/>
        <v>-5.21E-2</v>
      </c>
      <c r="G20" s="319">
        <f t="shared" si="3"/>
        <v>5.4999999999999997E-3</v>
      </c>
    </row>
    <row r="21" spans="1:7">
      <c r="A21" s="162">
        <v>19000</v>
      </c>
      <c r="B21" s="256">
        <v>-0.2</v>
      </c>
      <c r="C21" s="147">
        <f t="shared" si="4"/>
        <v>-1138.4000000000001</v>
      </c>
      <c r="D21" s="147">
        <f t="shared" si="6"/>
        <v>-1236.8</v>
      </c>
      <c r="E21" s="165">
        <f t="shared" si="2"/>
        <v>98.399999999999864</v>
      </c>
      <c r="F21" s="319">
        <f t="shared" si="5"/>
        <v>-5.9900000000000002E-2</v>
      </c>
      <c r="G21" s="319">
        <f t="shared" si="3"/>
        <v>5.1999999999999998E-3</v>
      </c>
    </row>
    <row r="22" spans="1:7">
      <c r="A22" s="162">
        <v>21000</v>
      </c>
      <c r="B22" s="256">
        <v>-0.2</v>
      </c>
      <c r="C22" s="147">
        <f t="shared" si="4"/>
        <v>-1538.4</v>
      </c>
      <c r="D22" s="147">
        <f t="shared" si="6"/>
        <v>-1655</v>
      </c>
      <c r="E22" s="165">
        <f t="shared" si="2"/>
        <v>116.59999999999991</v>
      </c>
      <c r="F22" s="319">
        <f t="shared" si="5"/>
        <v>-7.3300000000000004E-2</v>
      </c>
      <c r="G22" s="319">
        <f t="shared" si="3"/>
        <v>5.5999999999999999E-3</v>
      </c>
    </row>
    <row r="23" spans="1:7">
      <c r="A23" s="162">
        <v>23000</v>
      </c>
      <c r="B23" s="256">
        <v>-0.3</v>
      </c>
      <c r="C23" s="147">
        <f t="shared" si="4"/>
        <v>-2076.6999999999998</v>
      </c>
      <c r="D23" s="147">
        <f t="shared" si="6"/>
        <v>-2255</v>
      </c>
      <c r="E23" s="165">
        <f t="shared" si="2"/>
        <v>178.30000000000018</v>
      </c>
      <c r="F23" s="319">
        <f t="shared" si="5"/>
        <v>-9.0300000000000005E-2</v>
      </c>
      <c r="G23" s="319">
        <f t="shared" si="3"/>
        <v>7.7999999999999996E-3</v>
      </c>
    </row>
    <row r="24" spans="1:7">
      <c r="A24" s="162">
        <v>25000</v>
      </c>
      <c r="B24" s="256">
        <v>-0.3</v>
      </c>
      <c r="C24" s="147">
        <f t="shared" si="4"/>
        <v>-2676.7</v>
      </c>
      <c r="D24" s="147">
        <f t="shared" si="6"/>
        <v>-2855</v>
      </c>
      <c r="E24" s="165">
        <f t="shared" si="2"/>
        <v>178.30000000000018</v>
      </c>
      <c r="F24" s="319">
        <f t="shared" si="5"/>
        <v>-0.1071</v>
      </c>
      <c r="G24" s="319">
        <f t="shared" si="3"/>
        <v>7.1000000000000004E-3</v>
      </c>
    </row>
    <row r="25" spans="1:7">
      <c r="A25" s="162">
        <v>27000</v>
      </c>
      <c r="B25" s="256">
        <v>-0.3</v>
      </c>
      <c r="C25" s="147">
        <f t="shared" si="4"/>
        <v>-3276.7</v>
      </c>
      <c r="D25" s="147">
        <f t="shared" si="6"/>
        <v>-3455</v>
      </c>
      <c r="E25" s="165">
        <f t="shared" si="2"/>
        <v>178.30000000000018</v>
      </c>
      <c r="F25" s="319">
        <f t="shared" si="5"/>
        <v>-0.12139999999999999</v>
      </c>
      <c r="G25" s="319">
        <f t="shared" si="3"/>
        <v>6.6E-3</v>
      </c>
    </row>
    <row r="26" spans="1:7">
      <c r="A26" s="162">
        <v>29000</v>
      </c>
      <c r="B26" s="256">
        <v>-0.3</v>
      </c>
      <c r="C26" s="147">
        <f t="shared" si="4"/>
        <v>-3876.7</v>
      </c>
      <c r="D26" s="147">
        <f t="shared" si="6"/>
        <v>-4055</v>
      </c>
      <c r="E26" s="165">
        <f t="shared" si="2"/>
        <v>178.30000000000018</v>
      </c>
      <c r="F26" s="319">
        <f t="shared" si="5"/>
        <v>-0.13370000000000001</v>
      </c>
      <c r="G26" s="319">
        <f t="shared" si="3"/>
        <v>6.1000000000000004E-3</v>
      </c>
    </row>
    <row r="27" spans="1:7">
      <c r="A27" s="162">
        <v>31000</v>
      </c>
      <c r="B27" s="256">
        <v>-0.3</v>
      </c>
      <c r="C27" s="147">
        <f t="shared" si="4"/>
        <v>-4476.7</v>
      </c>
      <c r="D27" s="147">
        <f t="shared" si="6"/>
        <v>-4655</v>
      </c>
      <c r="E27" s="165">
        <f t="shared" si="2"/>
        <v>178.30000000000018</v>
      </c>
      <c r="F27" s="319">
        <f t="shared" si="5"/>
        <v>-0.1444</v>
      </c>
      <c r="G27" s="319">
        <f t="shared" si="3"/>
        <v>5.7999999999999996E-3</v>
      </c>
    </row>
    <row r="28" spans="1:7">
      <c r="A28" s="162">
        <v>32000</v>
      </c>
      <c r="B28" s="256">
        <v>-0.3</v>
      </c>
      <c r="C28" s="147">
        <f t="shared" si="4"/>
        <v>-4776.7</v>
      </c>
      <c r="D28" s="147">
        <f t="shared" si="6"/>
        <v>-4955</v>
      </c>
      <c r="E28" s="165">
        <f t="shared" si="2"/>
        <v>178.30000000000018</v>
      </c>
      <c r="F28" s="319">
        <f t="shared" si="5"/>
        <v>-0.14929999999999999</v>
      </c>
      <c r="G28" s="319">
        <f t="shared" si="3"/>
        <v>5.5999999999999999E-3</v>
      </c>
    </row>
    <row r="29" spans="1:7">
      <c r="A29" s="162">
        <v>34000</v>
      </c>
      <c r="B29" s="256">
        <v>-0.3</v>
      </c>
      <c r="C29" s="147">
        <f t="shared" si="4"/>
        <v>-5376.7</v>
      </c>
      <c r="D29" s="147">
        <f t="shared" si="6"/>
        <v>-5555</v>
      </c>
      <c r="E29" s="165">
        <f t="shared" si="2"/>
        <v>178.30000000000018</v>
      </c>
      <c r="F29" s="319">
        <f t="shared" si="5"/>
        <v>-0.15809999999999999</v>
      </c>
      <c r="G29" s="319">
        <f t="shared" si="3"/>
        <v>5.1999999999999998E-3</v>
      </c>
    </row>
    <row r="30" spans="1:7">
      <c r="A30" s="162">
        <v>36000</v>
      </c>
      <c r="B30" s="256">
        <v>-0.4</v>
      </c>
      <c r="C30" s="147">
        <f t="shared" si="4"/>
        <v>-5993.1</v>
      </c>
      <c r="D30" s="147">
        <f t="shared" si="6"/>
        <v>-6303.7</v>
      </c>
      <c r="E30" s="165">
        <f t="shared" si="2"/>
        <v>310.59999999999945</v>
      </c>
      <c r="F30" s="319">
        <f t="shared" si="5"/>
        <v>-0.16650000000000001</v>
      </c>
      <c r="G30" s="319">
        <f t="shared" si="3"/>
        <v>8.6E-3</v>
      </c>
    </row>
    <row r="31" spans="1:7">
      <c r="A31" s="162">
        <v>38000</v>
      </c>
      <c r="B31" s="256">
        <v>-0.4</v>
      </c>
      <c r="C31" s="147">
        <f t="shared" si="4"/>
        <v>-6793.1</v>
      </c>
      <c r="D31" s="147">
        <f t="shared" si="6"/>
        <v>-7103.7</v>
      </c>
      <c r="E31" s="165">
        <f t="shared" si="2"/>
        <v>310.59999999999945</v>
      </c>
      <c r="F31" s="319">
        <f t="shared" si="5"/>
        <v>-0.17879999999999999</v>
      </c>
      <c r="G31" s="319">
        <f t="shared" si="3"/>
        <v>8.2000000000000007E-3</v>
      </c>
    </row>
    <row r="32" spans="1:7" s="167" customFormat="1">
      <c r="A32" s="162">
        <v>40000</v>
      </c>
      <c r="B32" s="256">
        <v>-0.4</v>
      </c>
      <c r="C32" s="147">
        <f t="shared" si="4"/>
        <v>-7593.1</v>
      </c>
      <c r="D32" s="147">
        <f t="shared" si="6"/>
        <v>-7903.7</v>
      </c>
      <c r="E32" s="165">
        <f t="shared" si="2"/>
        <v>310.59999999999945</v>
      </c>
      <c r="F32" s="319">
        <f t="shared" si="5"/>
        <v>-0.1898</v>
      </c>
      <c r="G32" s="319">
        <f t="shared" si="3"/>
        <v>7.7999999999999996E-3</v>
      </c>
    </row>
    <row r="33" spans="1:7" s="167" customFormat="1">
      <c r="A33" s="162">
        <v>45000</v>
      </c>
      <c r="B33" s="256">
        <v>-0.4</v>
      </c>
      <c r="C33" s="147">
        <f t="shared" si="4"/>
        <v>-9593.1</v>
      </c>
      <c r="D33" s="147">
        <f t="shared" si="6"/>
        <v>-9903.7000000000007</v>
      </c>
      <c r="E33" s="165">
        <f t="shared" si="2"/>
        <v>310.60000000000036</v>
      </c>
      <c r="F33" s="319">
        <f t="shared" si="5"/>
        <v>-0.2132</v>
      </c>
      <c r="G33" s="319">
        <f t="shared" si="3"/>
        <v>6.8999999999999999E-3</v>
      </c>
    </row>
    <row r="34" spans="1:7" s="167" customFormat="1">
      <c r="A34" s="162">
        <v>50000</v>
      </c>
      <c r="B34" s="256">
        <v>-0.4</v>
      </c>
      <c r="C34" s="147">
        <f t="shared" si="4"/>
        <v>-11593.1</v>
      </c>
      <c r="D34" s="147">
        <f t="shared" si="6"/>
        <v>-11903.7</v>
      </c>
      <c r="E34" s="165">
        <f t="shared" si="2"/>
        <v>310.60000000000036</v>
      </c>
      <c r="F34" s="319">
        <f t="shared" si="5"/>
        <v>-0.2319</v>
      </c>
      <c r="G34" s="319">
        <f t="shared" si="3"/>
        <v>6.1999999999999998E-3</v>
      </c>
    </row>
    <row r="35" spans="1:7" s="167" customFormat="1">
      <c r="A35" s="162">
        <v>55000</v>
      </c>
      <c r="B35" s="256">
        <v>-0.4</v>
      </c>
      <c r="C35" s="147">
        <f t="shared" si="4"/>
        <v>-13593.1</v>
      </c>
      <c r="D35" s="147">
        <f t="shared" si="6"/>
        <v>-13903.7</v>
      </c>
      <c r="E35" s="165">
        <f t="shared" si="2"/>
        <v>310.60000000000036</v>
      </c>
      <c r="F35" s="319">
        <f t="shared" si="5"/>
        <v>-0.24709999999999999</v>
      </c>
      <c r="G35" s="319">
        <f t="shared" si="3"/>
        <v>5.5999999999999999E-3</v>
      </c>
    </row>
    <row r="36" spans="1:7" s="167" customFormat="1">
      <c r="A36" s="162">
        <v>60000</v>
      </c>
      <c r="B36" s="256">
        <v>-0.4</v>
      </c>
      <c r="C36" s="147">
        <f t="shared" si="4"/>
        <v>-15593.1</v>
      </c>
      <c r="D36" s="147">
        <f t="shared" si="6"/>
        <v>-15903.7</v>
      </c>
      <c r="E36" s="165">
        <f t="shared" si="2"/>
        <v>310.60000000000036</v>
      </c>
      <c r="F36" s="319">
        <f t="shared" si="5"/>
        <v>-0.25990000000000002</v>
      </c>
      <c r="G36" s="319">
        <f t="shared" si="3"/>
        <v>5.1999999999999998E-3</v>
      </c>
    </row>
    <row r="37" spans="1:7" s="167" customFormat="1">
      <c r="A37" s="162">
        <v>65000</v>
      </c>
      <c r="B37" s="256">
        <v>-0.4</v>
      </c>
      <c r="C37" s="147">
        <f t="shared" si="4"/>
        <v>-17593.099999999999</v>
      </c>
      <c r="D37" s="147">
        <f t="shared" si="6"/>
        <v>-17903.7</v>
      </c>
      <c r="E37" s="165">
        <f t="shared" si="2"/>
        <v>310.60000000000218</v>
      </c>
      <c r="F37" s="319">
        <f t="shared" si="5"/>
        <v>-0.2707</v>
      </c>
      <c r="G37" s="319">
        <f t="shared" si="3"/>
        <v>4.7999999999999996E-3</v>
      </c>
    </row>
    <row r="38" spans="1:7" s="167" customFormat="1">
      <c r="A38" s="162">
        <v>70000</v>
      </c>
      <c r="B38" s="256">
        <f t="shared" ref="B38:B74" si="7">ROUND(IF(A38&lt;=11000,0,IF(A38&lt;=18000,"-25 %",IF(A38&lt;=31000,"-35 %",IF(A38&lt;=60000,"-42 %",IF(A38&lt;=90000,"-48 %",IF(A38&lt;=1000000,"-50 %","-55 %")))))),2)</f>
        <v>-0.48</v>
      </c>
      <c r="C38" s="147">
        <f t="shared" si="4"/>
        <v>-19659.82</v>
      </c>
      <c r="D38" s="147">
        <f t="shared" si="6"/>
        <v>-20174.740000000002</v>
      </c>
      <c r="E38" s="165">
        <f t="shared" si="2"/>
        <v>514.92000000000189</v>
      </c>
      <c r="F38" s="319">
        <f t="shared" si="5"/>
        <v>-0.28089999999999998</v>
      </c>
      <c r="G38" s="319">
        <f t="shared" si="3"/>
        <v>7.4000000000000003E-3</v>
      </c>
    </row>
    <row r="39" spans="1:7" s="167" customFormat="1">
      <c r="A39" s="162">
        <v>75000</v>
      </c>
      <c r="B39" s="256">
        <f t="shared" si="7"/>
        <v>-0.48</v>
      </c>
      <c r="C39" s="147">
        <f t="shared" si="4"/>
        <v>-22059.82</v>
      </c>
      <c r="D39" s="147">
        <f t="shared" si="6"/>
        <v>-22574.74</v>
      </c>
      <c r="E39" s="165">
        <f t="shared" si="2"/>
        <v>514.92000000000189</v>
      </c>
      <c r="F39" s="319">
        <f t="shared" si="5"/>
        <v>-0.29409999999999997</v>
      </c>
      <c r="G39" s="319">
        <f t="shared" si="3"/>
        <v>6.8999999999999999E-3</v>
      </c>
    </row>
    <row r="40" spans="1:7" s="167" customFormat="1">
      <c r="A40" s="162">
        <v>80000</v>
      </c>
      <c r="B40" s="256">
        <f t="shared" si="7"/>
        <v>-0.48</v>
      </c>
      <c r="C40" s="147">
        <f t="shared" si="4"/>
        <v>-24459.82</v>
      </c>
      <c r="D40" s="147">
        <f t="shared" si="6"/>
        <v>-24974.74</v>
      </c>
      <c r="E40" s="165">
        <f t="shared" si="2"/>
        <v>514.92000000000189</v>
      </c>
      <c r="F40" s="319">
        <f t="shared" si="5"/>
        <v>-0.30570000000000003</v>
      </c>
      <c r="G40" s="319">
        <f t="shared" si="3"/>
        <v>6.4000000000000003E-3</v>
      </c>
    </row>
    <row r="41" spans="1:7" s="167" customFormat="1">
      <c r="A41" s="162">
        <v>85000</v>
      </c>
      <c r="B41" s="256">
        <f t="shared" si="7"/>
        <v>-0.48</v>
      </c>
      <c r="C41" s="147">
        <f t="shared" si="4"/>
        <v>-26859.82</v>
      </c>
      <c r="D41" s="147">
        <f t="shared" si="6"/>
        <v>-27374.74</v>
      </c>
      <c r="E41" s="165">
        <f t="shared" si="2"/>
        <v>514.92000000000189</v>
      </c>
      <c r="F41" s="319">
        <f t="shared" si="5"/>
        <v>-0.316</v>
      </c>
      <c r="G41" s="319">
        <f t="shared" si="3"/>
        <v>6.1000000000000004E-3</v>
      </c>
    </row>
    <row r="42" spans="1:7" s="167" customFormat="1">
      <c r="A42" s="162">
        <v>90000</v>
      </c>
      <c r="B42" s="256">
        <f t="shared" si="7"/>
        <v>-0.48</v>
      </c>
      <c r="C42" s="147">
        <f t="shared" si="4"/>
        <v>-29259.82</v>
      </c>
      <c r="D42" s="147">
        <f t="shared" si="6"/>
        <v>-29774.74</v>
      </c>
      <c r="E42" s="165">
        <f t="shared" si="2"/>
        <v>514.92000000000189</v>
      </c>
      <c r="F42" s="319">
        <f t="shared" si="5"/>
        <v>-0.3251</v>
      </c>
      <c r="G42" s="319">
        <f t="shared" si="3"/>
        <v>5.7000000000000002E-3</v>
      </c>
    </row>
    <row r="43" spans="1:7">
      <c r="A43" s="162">
        <v>95000</v>
      </c>
      <c r="B43" s="256">
        <v>-0.48</v>
      </c>
      <c r="C43" s="147">
        <f t="shared" si="4"/>
        <v>-31659.82</v>
      </c>
      <c r="D43" s="147">
        <f t="shared" si="6"/>
        <v>-32174.74</v>
      </c>
      <c r="E43" s="165">
        <f t="shared" si="2"/>
        <v>514.92000000000189</v>
      </c>
      <c r="F43" s="319">
        <f t="shared" si="5"/>
        <v>-0.33329999999999999</v>
      </c>
      <c r="G43" s="319">
        <f t="shared" si="3"/>
        <v>5.4000000000000003E-3</v>
      </c>
    </row>
    <row r="44" spans="1:7">
      <c r="A44" s="162">
        <v>100000</v>
      </c>
      <c r="B44" s="256">
        <v>-0.48</v>
      </c>
      <c r="C44" s="147">
        <f t="shared" si="4"/>
        <v>-34059.82</v>
      </c>
      <c r="D44" s="147">
        <f t="shared" si="6"/>
        <v>-34589.42</v>
      </c>
      <c r="E44" s="165">
        <f t="shared" si="2"/>
        <v>529.59999999999854</v>
      </c>
      <c r="F44" s="319">
        <f t="shared" si="5"/>
        <v>-0.34060000000000001</v>
      </c>
      <c r="G44" s="319">
        <f t="shared" si="3"/>
        <v>5.3E-3</v>
      </c>
    </row>
    <row r="45" spans="1:7">
      <c r="A45" s="162">
        <v>200000</v>
      </c>
      <c r="B45" s="256">
        <f t="shared" si="7"/>
        <v>-0.5</v>
      </c>
      <c r="C45" s="147">
        <f t="shared" si="4"/>
        <v>-83998.38</v>
      </c>
      <c r="D45" s="147">
        <f t="shared" si="6"/>
        <v>-84589.42</v>
      </c>
      <c r="E45" s="165">
        <f t="shared" si="2"/>
        <v>591.0399999999936</v>
      </c>
      <c r="F45" s="319">
        <f t="shared" si="5"/>
        <v>-0.42</v>
      </c>
      <c r="G45" s="319">
        <f t="shared" si="3"/>
        <v>3.0000000000000001E-3</v>
      </c>
    </row>
    <row r="46" spans="1:7">
      <c r="A46" s="162">
        <v>300000</v>
      </c>
      <c r="B46" s="256">
        <f t="shared" si="7"/>
        <v>-0.5</v>
      </c>
      <c r="C46" s="147">
        <f t="shared" si="4"/>
        <v>-133998.38</v>
      </c>
      <c r="D46" s="147">
        <f t="shared" si="6"/>
        <v>-134589.42000000001</v>
      </c>
      <c r="E46" s="165">
        <f t="shared" si="2"/>
        <v>591.04000000000815</v>
      </c>
      <c r="F46" s="319">
        <f t="shared" si="5"/>
        <v>-0.44669999999999999</v>
      </c>
      <c r="G46" s="319">
        <f t="shared" si="3"/>
        <v>2E-3</v>
      </c>
    </row>
    <row r="47" spans="1:7">
      <c r="A47" s="162">
        <v>400000</v>
      </c>
      <c r="B47" s="256">
        <f t="shared" si="7"/>
        <v>-0.5</v>
      </c>
      <c r="C47" s="147">
        <f t="shared" si="4"/>
        <v>-183998.38</v>
      </c>
      <c r="D47" s="147">
        <f t="shared" si="6"/>
        <v>-184589.42</v>
      </c>
      <c r="E47" s="165">
        <f t="shared" si="2"/>
        <v>591.04000000000815</v>
      </c>
      <c r="F47" s="319">
        <f t="shared" si="5"/>
        <v>-0.46</v>
      </c>
      <c r="G47" s="319">
        <f t="shared" si="3"/>
        <v>1.5E-3</v>
      </c>
    </row>
    <row r="48" spans="1:7">
      <c r="A48" s="162">
        <v>500000</v>
      </c>
      <c r="B48" s="256">
        <f t="shared" si="7"/>
        <v>-0.5</v>
      </c>
      <c r="C48" s="147">
        <f t="shared" si="4"/>
        <v>-233998.38</v>
      </c>
      <c r="D48" s="147">
        <f t="shared" si="6"/>
        <v>-234589.42</v>
      </c>
      <c r="E48" s="165">
        <f t="shared" si="2"/>
        <v>591.04000000000815</v>
      </c>
      <c r="F48" s="319">
        <f t="shared" si="5"/>
        <v>-0.46800000000000003</v>
      </c>
      <c r="G48" s="319">
        <f t="shared" si="3"/>
        <v>1.1999999999999999E-3</v>
      </c>
    </row>
    <row r="49" spans="1:7">
      <c r="A49" s="162">
        <v>600000</v>
      </c>
      <c r="B49" s="256">
        <f t="shared" si="7"/>
        <v>-0.5</v>
      </c>
      <c r="C49" s="147">
        <f t="shared" si="4"/>
        <v>-283998.38</v>
      </c>
      <c r="D49" s="147">
        <f t="shared" si="6"/>
        <v>-284589.42</v>
      </c>
      <c r="E49" s="165">
        <f t="shared" si="2"/>
        <v>591.03999999997905</v>
      </c>
      <c r="F49" s="319">
        <f t="shared" si="5"/>
        <v>-0.4733</v>
      </c>
      <c r="G49" s="319">
        <f t="shared" si="3"/>
        <v>1E-3</v>
      </c>
    </row>
    <row r="50" spans="1:7">
      <c r="A50" s="162">
        <v>700000</v>
      </c>
      <c r="B50" s="256">
        <f t="shared" si="7"/>
        <v>-0.5</v>
      </c>
      <c r="C50" s="147">
        <f t="shared" si="4"/>
        <v>-333998.38</v>
      </c>
      <c r="D50" s="147">
        <f t="shared" si="6"/>
        <v>-334589.42</v>
      </c>
      <c r="E50" s="165">
        <f t="shared" si="2"/>
        <v>591.03999999997905</v>
      </c>
      <c r="F50" s="319">
        <f t="shared" si="5"/>
        <v>-0.47710000000000002</v>
      </c>
      <c r="G50" s="319">
        <f t="shared" si="3"/>
        <v>8.0000000000000004E-4</v>
      </c>
    </row>
    <row r="51" spans="1:7">
      <c r="A51" s="162">
        <v>800000</v>
      </c>
      <c r="B51" s="256">
        <f t="shared" si="7"/>
        <v>-0.5</v>
      </c>
      <c r="C51" s="147">
        <f t="shared" si="4"/>
        <v>-383998.38</v>
      </c>
      <c r="D51" s="147">
        <f t="shared" si="6"/>
        <v>-384589.42</v>
      </c>
      <c r="E51" s="165">
        <f t="shared" si="2"/>
        <v>591.03999999997905</v>
      </c>
      <c r="F51" s="319">
        <f t="shared" si="5"/>
        <v>-0.48</v>
      </c>
      <c r="G51" s="319">
        <f t="shared" si="3"/>
        <v>6.9999999999999999E-4</v>
      </c>
    </row>
    <row r="52" spans="1:7">
      <c r="A52" s="162">
        <v>900000</v>
      </c>
      <c r="B52" s="256">
        <f t="shared" si="7"/>
        <v>-0.5</v>
      </c>
      <c r="C52" s="147">
        <f t="shared" si="4"/>
        <v>-433998.38</v>
      </c>
      <c r="D52" s="147">
        <f t="shared" si="6"/>
        <v>-434589.42</v>
      </c>
      <c r="E52" s="165">
        <f t="shared" si="2"/>
        <v>591.03999999997905</v>
      </c>
      <c r="F52" s="319">
        <f t="shared" si="5"/>
        <v>-0.48220000000000002</v>
      </c>
      <c r="G52" s="319">
        <f t="shared" si="3"/>
        <v>6.9999999999999999E-4</v>
      </c>
    </row>
    <row r="53" spans="1:7">
      <c r="A53" s="162">
        <v>1000000</v>
      </c>
      <c r="B53" s="256">
        <f t="shared" si="7"/>
        <v>-0.5</v>
      </c>
      <c r="C53" s="147">
        <f t="shared" si="4"/>
        <v>-483998.38</v>
      </c>
      <c r="D53" s="147">
        <f t="shared" si="6"/>
        <v>-484589.42</v>
      </c>
      <c r="E53" s="165">
        <f t="shared" si="2"/>
        <v>591.03999999997905</v>
      </c>
      <c r="F53" s="319">
        <f t="shared" si="5"/>
        <v>-0.48399999999999999</v>
      </c>
      <c r="G53" s="319">
        <f t="shared" si="3"/>
        <v>5.9999999999999995E-4</v>
      </c>
    </row>
    <row r="54" spans="1:7">
      <c r="A54" s="162">
        <v>1010000</v>
      </c>
      <c r="B54" s="256">
        <f t="shared" si="7"/>
        <v>-0.55000000000000004</v>
      </c>
      <c r="C54" s="147">
        <f t="shared" si="4"/>
        <v>-489498.38</v>
      </c>
      <c r="D54" s="147">
        <f t="shared" si="6"/>
        <v>-490089.42</v>
      </c>
      <c r="E54" s="165">
        <f t="shared" si="2"/>
        <v>591.03999999997905</v>
      </c>
      <c r="F54" s="319">
        <f t="shared" si="5"/>
        <v>-0.48470000000000002</v>
      </c>
      <c r="G54" s="319">
        <f t="shared" si="3"/>
        <v>5.9999999999999995E-4</v>
      </c>
    </row>
    <row r="55" spans="1:7">
      <c r="A55" s="162">
        <v>1020000</v>
      </c>
      <c r="B55" s="256">
        <f t="shared" si="7"/>
        <v>-0.55000000000000004</v>
      </c>
      <c r="C55" s="147">
        <f t="shared" si="4"/>
        <v>-494998.38</v>
      </c>
      <c r="D55" s="147">
        <f t="shared" si="6"/>
        <v>-495589.42</v>
      </c>
      <c r="E55" s="165">
        <f t="shared" si="2"/>
        <v>591.03999999997905</v>
      </c>
      <c r="F55" s="319">
        <f t="shared" si="5"/>
        <v>-0.48530000000000001</v>
      </c>
      <c r="G55" s="319">
        <f t="shared" si="3"/>
        <v>5.9999999999999995E-4</v>
      </c>
    </row>
    <row r="56" spans="1:7">
      <c r="A56" s="162">
        <v>1030000</v>
      </c>
      <c r="B56" s="256">
        <f t="shared" si="7"/>
        <v>-0.55000000000000004</v>
      </c>
      <c r="C56" s="147">
        <f t="shared" si="4"/>
        <v>-500498.38</v>
      </c>
      <c r="D56" s="147">
        <f t="shared" si="6"/>
        <v>-501089.42</v>
      </c>
      <c r="E56" s="165">
        <f t="shared" si="2"/>
        <v>591.03999999997905</v>
      </c>
      <c r="F56" s="319">
        <f t="shared" si="5"/>
        <v>-0.4859</v>
      </c>
      <c r="G56" s="319">
        <f t="shared" si="3"/>
        <v>5.9999999999999995E-4</v>
      </c>
    </row>
    <row r="57" spans="1:7">
      <c r="A57" s="162">
        <v>1040000</v>
      </c>
      <c r="B57" s="256">
        <f t="shared" si="7"/>
        <v>-0.55000000000000004</v>
      </c>
      <c r="C57" s="147">
        <f t="shared" si="4"/>
        <v>-505998.38</v>
      </c>
      <c r="D57" s="147">
        <f t="shared" si="6"/>
        <v>-506589.42</v>
      </c>
      <c r="E57" s="165">
        <f t="shared" si="2"/>
        <v>591.03999999997905</v>
      </c>
      <c r="F57" s="319">
        <f t="shared" si="5"/>
        <v>-0.48649999999999999</v>
      </c>
      <c r="G57" s="319">
        <f t="shared" si="3"/>
        <v>5.9999999999999995E-4</v>
      </c>
    </row>
    <row r="58" spans="1:7">
      <c r="A58" s="162">
        <v>1047100</v>
      </c>
      <c r="B58" s="256">
        <f t="shared" si="7"/>
        <v>-0.55000000000000004</v>
      </c>
      <c r="C58" s="147">
        <f t="shared" si="4"/>
        <v>-509903.38</v>
      </c>
      <c r="D58" s="147">
        <f t="shared" si="6"/>
        <v>-510494.42</v>
      </c>
      <c r="E58" s="165">
        <f t="shared" si="2"/>
        <v>591.03999999997905</v>
      </c>
      <c r="F58" s="319">
        <f t="shared" si="5"/>
        <v>-0.48699999999999999</v>
      </c>
      <c r="G58" s="319">
        <f t="shared" si="3"/>
        <v>5.9999999999999995E-4</v>
      </c>
    </row>
    <row r="59" spans="1:7">
      <c r="A59" s="162">
        <v>1050000</v>
      </c>
      <c r="B59" s="256">
        <f t="shared" si="7"/>
        <v>-0.55000000000000004</v>
      </c>
      <c r="C59" s="147">
        <f t="shared" si="4"/>
        <v>-511498.38</v>
      </c>
      <c r="D59" s="147">
        <f t="shared" si="6"/>
        <v>-512089.42</v>
      </c>
      <c r="E59" s="165">
        <f t="shared" si="2"/>
        <v>591.03999999997905</v>
      </c>
      <c r="F59" s="319">
        <f t="shared" si="5"/>
        <v>-0.48709999999999998</v>
      </c>
      <c r="G59" s="319">
        <f t="shared" si="3"/>
        <v>5.9999999999999995E-4</v>
      </c>
    </row>
    <row r="60" spans="1:7">
      <c r="A60" s="162">
        <v>1060000</v>
      </c>
      <c r="B60" s="256">
        <f t="shared" si="7"/>
        <v>-0.55000000000000004</v>
      </c>
      <c r="C60" s="147">
        <f t="shared" si="4"/>
        <v>-516998.38</v>
      </c>
      <c r="D60" s="147">
        <f t="shared" si="6"/>
        <v>-517589.42</v>
      </c>
      <c r="E60" s="165">
        <f t="shared" si="2"/>
        <v>591.03999999997905</v>
      </c>
      <c r="F60" s="319">
        <f t="shared" si="5"/>
        <v>-0.48770000000000002</v>
      </c>
      <c r="G60" s="319">
        <f t="shared" si="3"/>
        <v>5.9999999999999995E-4</v>
      </c>
    </row>
    <row r="61" spans="1:7">
      <c r="A61" s="162">
        <v>1070000</v>
      </c>
      <c r="B61" s="256">
        <f t="shared" si="7"/>
        <v>-0.55000000000000004</v>
      </c>
      <c r="C61" s="147">
        <f t="shared" si="4"/>
        <v>-522498.38</v>
      </c>
      <c r="D61" s="147">
        <f t="shared" si="6"/>
        <v>-523089.42</v>
      </c>
      <c r="E61" s="165">
        <f t="shared" si="2"/>
        <v>591.03999999997905</v>
      </c>
      <c r="F61" s="319">
        <f t="shared" si="5"/>
        <v>-0.48830000000000001</v>
      </c>
      <c r="G61" s="319">
        <f t="shared" si="3"/>
        <v>5.9999999999999995E-4</v>
      </c>
    </row>
    <row r="62" spans="1:7">
      <c r="A62" s="162">
        <v>1080000</v>
      </c>
      <c r="B62" s="256">
        <f t="shared" si="7"/>
        <v>-0.55000000000000004</v>
      </c>
      <c r="C62" s="147">
        <f t="shared" si="4"/>
        <v>-527998.38</v>
      </c>
      <c r="D62" s="147">
        <f t="shared" si="6"/>
        <v>-528589.42000000004</v>
      </c>
      <c r="E62" s="165">
        <f t="shared" si="2"/>
        <v>591.04000000003725</v>
      </c>
      <c r="F62" s="319">
        <f t="shared" si="5"/>
        <v>-0.4889</v>
      </c>
      <c r="G62" s="319">
        <f t="shared" si="3"/>
        <v>5.0000000000000001E-4</v>
      </c>
    </row>
    <row r="63" spans="1:7">
      <c r="A63" s="162">
        <v>1090000</v>
      </c>
      <c r="B63" s="256">
        <f t="shared" si="7"/>
        <v>-0.55000000000000004</v>
      </c>
      <c r="C63" s="147">
        <f t="shared" si="4"/>
        <v>-533498.38</v>
      </c>
      <c r="D63" s="147">
        <f t="shared" si="6"/>
        <v>-534089.42000000004</v>
      </c>
      <c r="E63" s="165">
        <f t="shared" si="2"/>
        <v>591.04000000003725</v>
      </c>
      <c r="F63" s="319">
        <f t="shared" si="5"/>
        <v>-0.4894</v>
      </c>
      <c r="G63" s="319">
        <f t="shared" si="3"/>
        <v>5.0000000000000001E-4</v>
      </c>
    </row>
    <row r="64" spans="1:7">
      <c r="A64" s="162">
        <v>1100000</v>
      </c>
      <c r="B64" s="256">
        <f t="shared" si="7"/>
        <v>-0.55000000000000004</v>
      </c>
      <c r="C64" s="147">
        <f t="shared" si="4"/>
        <v>-538998.38</v>
      </c>
      <c r="D64" s="147">
        <f t="shared" si="6"/>
        <v>-539589.42000000004</v>
      </c>
      <c r="E64" s="165">
        <f t="shared" si="2"/>
        <v>591.04000000003725</v>
      </c>
      <c r="F64" s="319">
        <f t="shared" si="5"/>
        <v>-0.49</v>
      </c>
      <c r="G64" s="319">
        <f t="shared" si="3"/>
        <v>5.0000000000000001E-4</v>
      </c>
    </row>
    <row r="65" spans="1:7">
      <c r="A65" s="162">
        <v>1150000</v>
      </c>
      <c r="B65" s="256">
        <f t="shared" si="7"/>
        <v>-0.55000000000000004</v>
      </c>
      <c r="C65" s="147">
        <f t="shared" si="4"/>
        <v>-566498.38</v>
      </c>
      <c r="D65" s="147">
        <f t="shared" si="6"/>
        <v>-567089.42000000004</v>
      </c>
      <c r="E65" s="165">
        <f t="shared" si="2"/>
        <v>591.04000000003725</v>
      </c>
      <c r="F65" s="319">
        <f t="shared" si="5"/>
        <v>-0.49259999999999998</v>
      </c>
      <c r="G65" s="319">
        <f t="shared" si="3"/>
        <v>5.0000000000000001E-4</v>
      </c>
    </row>
    <row r="66" spans="1:7">
      <c r="A66" s="162">
        <v>1200000</v>
      </c>
      <c r="B66" s="256">
        <f t="shared" si="7"/>
        <v>-0.55000000000000004</v>
      </c>
      <c r="C66" s="147">
        <f t="shared" si="4"/>
        <v>-593998.38</v>
      </c>
      <c r="D66" s="147">
        <f t="shared" si="6"/>
        <v>-594589.42000000004</v>
      </c>
      <c r="E66" s="165">
        <f t="shared" si="2"/>
        <v>591.04000000003725</v>
      </c>
      <c r="F66" s="319">
        <f t="shared" si="5"/>
        <v>-0.495</v>
      </c>
      <c r="G66" s="319">
        <f t="shared" si="3"/>
        <v>5.0000000000000001E-4</v>
      </c>
    </row>
    <row r="67" spans="1:7">
      <c r="A67" s="162">
        <v>1300000</v>
      </c>
      <c r="B67" s="256">
        <f t="shared" si="7"/>
        <v>-0.55000000000000004</v>
      </c>
      <c r="C67" s="147">
        <f t="shared" si="4"/>
        <v>-648998.38</v>
      </c>
      <c r="D67" s="147">
        <f t="shared" si="6"/>
        <v>-649589.42000000004</v>
      </c>
      <c r="E67" s="165">
        <f t="shared" si="2"/>
        <v>591.04000000003725</v>
      </c>
      <c r="F67" s="319">
        <f t="shared" si="5"/>
        <v>-0.49919999999999998</v>
      </c>
      <c r="G67" s="319">
        <f t="shared" si="3"/>
        <v>5.0000000000000001E-4</v>
      </c>
    </row>
    <row r="68" spans="1:7">
      <c r="A68" s="162">
        <v>1400000</v>
      </c>
      <c r="B68" s="256">
        <f t="shared" si="7"/>
        <v>-0.55000000000000004</v>
      </c>
      <c r="C68" s="147">
        <f t="shared" si="4"/>
        <v>-703998.38</v>
      </c>
      <c r="D68" s="147">
        <f t="shared" si="6"/>
        <v>-704589.42</v>
      </c>
      <c r="E68" s="165">
        <f t="shared" si="2"/>
        <v>591.04000000003725</v>
      </c>
      <c r="F68" s="319">
        <f t="shared" si="5"/>
        <v>-0.50290000000000001</v>
      </c>
      <c r="G68" s="319">
        <f t="shared" si="3"/>
        <v>4.0000000000000002E-4</v>
      </c>
    </row>
    <row r="69" spans="1:7">
      <c r="A69" s="162">
        <v>1500000</v>
      </c>
      <c r="B69" s="256">
        <f t="shared" si="7"/>
        <v>-0.55000000000000004</v>
      </c>
      <c r="C69" s="147">
        <f t="shared" si="4"/>
        <v>-758998.38</v>
      </c>
      <c r="D69" s="147">
        <f t="shared" si="6"/>
        <v>-759589.42</v>
      </c>
      <c r="E69" s="165">
        <f t="shared" si="2"/>
        <v>591.04000000003725</v>
      </c>
      <c r="F69" s="319">
        <f t="shared" si="5"/>
        <v>-0.50600000000000001</v>
      </c>
      <c r="G69" s="319">
        <f t="shared" si="3"/>
        <v>4.0000000000000002E-4</v>
      </c>
    </row>
    <row r="70" spans="1:7">
      <c r="A70" s="162">
        <v>1600000</v>
      </c>
      <c r="B70" s="256">
        <f t="shared" si="7"/>
        <v>-0.55000000000000004</v>
      </c>
      <c r="C70" s="147">
        <f t="shared" si="4"/>
        <v>-813998.38</v>
      </c>
      <c r="D70" s="147">
        <f t="shared" si="6"/>
        <v>-814589.42</v>
      </c>
      <c r="E70" s="165">
        <f t="shared" si="2"/>
        <v>591.04000000003725</v>
      </c>
      <c r="F70" s="319">
        <f t="shared" si="5"/>
        <v>-0.50870000000000004</v>
      </c>
      <c r="G70" s="319">
        <f t="shared" si="3"/>
        <v>4.0000000000000002E-4</v>
      </c>
    </row>
    <row r="71" spans="1:7">
      <c r="A71" s="162">
        <v>1700000</v>
      </c>
      <c r="B71" s="256">
        <f t="shared" si="7"/>
        <v>-0.55000000000000004</v>
      </c>
      <c r="C71" s="147">
        <f t="shared" si="4"/>
        <v>-868998.38</v>
      </c>
      <c r="D71" s="147">
        <f t="shared" si="6"/>
        <v>-869589.42</v>
      </c>
      <c r="E71" s="165">
        <f t="shared" si="2"/>
        <v>591.04000000003725</v>
      </c>
      <c r="F71" s="319">
        <f t="shared" si="5"/>
        <v>-0.51119999999999999</v>
      </c>
      <c r="G71" s="319">
        <f t="shared" si="3"/>
        <v>2.9999999999999997E-4</v>
      </c>
    </row>
    <row r="72" spans="1:7">
      <c r="A72" s="162">
        <v>1800000</v>
      </c>
      <c r="B72" s="256">
        <f t="shared" si="7"/>
        <v>-0.55000000000000004</v>
      </c>
      <c r="C72" s="147">
        <f t="shared" si="4"/>
        <v>-923998.38</v>
      </c>
      <c r="D72" s="147">
        <f t="shared" si="6"/>
        <v>-924589.42</v>
      </c>
      <c r="E72" s="165">
        <f t="shared" si="2"/>
        <v>591.04000000003725</v>
      </c>
      <c r="F72" s="319">
        <f t="shared" si="5"/>
        <v>-0.51329999999999998</v>
      </c>
      <c r="G72" s="319">
        <f t="shared" si="3"/>
        <v>2.9999999999999997E-4</v>
      </c>
    </row>
    <row r="73" spans="1:7">
      <c r="A73" s="162">
        <v>1900000</v>
      </c>
      <c r="B73" s="256">
        <f t="shared" si="7"/>
        <v>-0.55000000000000004</v>
      </c>
      <c r="C73" s="147">
        <f t="shared" si="4"/>
        <v>-978998.38</v>
      </c>
      <c r="D73" s="147">
        <f t="shared" si="6"/>
        <v>-979589.42</v>
      </c>
      <c r="E73" s="165">
        <f t="shared" si="2"/>
        <v>591.04000000003725</v>
      </c>
      <c r="F73" s="319">
        <f t="shared" si="5"/>
        <v>-0.51529999999999998</v>
      </c>
      <c r="G73" s="319">
        <f t="shared" si="3"/>
        <v>2.9999999999999997E-4</v>
      </c>
    </row>
    <row r="74" spans="1:7">
      <c r="A74" s="162">
        <v>2000000</v>
      </c>
      <c r="B74" s="256">
        <f t="shared" si="7"/>
        <v>-0.55000000000000004</v>
      </c>
      <c r="C74" s="147">
        <f t="shared" si="4"/>
        <v>-1033998.38</v>
      </c>
      <c r="D74" s="147">
        <f t="shared" si="6"/>
        <v>-1034589.42</v>
      </c>
      <c r="E74" s="165">
        <f t="shared" si="2"/>
        <v>591.04000000003725</v>
      </c>
      <c r="F74" s="319">
        <f t="shared" si="5"/>
        <v>-0.51700000000000002</v>
      </c>
      <c r="G74" s="319">
        <f t="shared" si="3"/>
        <v>2.9999999999999997E-4</v>
      </c>
    </row>
  </sheetData>
  <sheetProtection password="C835" sheet="1" objects="1" scenarios="1"/>
  <mergeCells count="1">
    <mergeCell ref="A1:E1"/>
  </mergeCells>
  <conditionalFormatting sqref="G2">
    <cfRule type="expression" dxfId="8" priority="2" stopIfTrue="1">
      <formula>AND(#REF!&gt;2)</formula>
    </cfRule>
  </conditionalFormatting>
  <conditionalFormatting sqref="G13:G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1" r:id="rId1"/>
  </hyperlinks>
  <printOptions horizontalCentered="1" gridLines="1"/>
  <pageMargins left="0.35433070866141736" right="0.19685039370078741" top="0.54" bottom="0.55000000000000004" header="0.27" footer="0.26"/>
  <pageSetup paperSize="9" scale="90" orientation="portrait" r:id="rId2"/>
  <headerFooter alignWithMargins="0">
    <oddHeader>&amp;L&amp;8&amp;F&amp;C&amp;8&amp;A&amp;R&amp;8&amp;D</oddHeader>
    <oddFooter>&amp;L&amp;8copyright © www.rvo.at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8"/>
  <sheetViews>
    <sheetView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88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20.25" customHeight="1" thickTop="1">
      <c r="A35" s="10"/>
      <c r="B35" s="11"/>
      <c r="C35" s="11"/>
      <c r="D35" s="12"/>
      <c r="E35" s="13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",ROUND(MIN(0,MAX((C37-30000)*-0.13,-96100)),2))</f>
        <v xml:space="preserve">  max .. 0</v>
      </c>
      <c r="F39" s="30"/>
    </row>
    <row r="40" spans="1:9">
      <c r="A40" s="16" t="s">
        <v>89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-8.25</v>
      </c>
      <c r="C42" s="52">
        <f>ROUND(B42*12,2)</f>
        <v>-99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-472.21999999999997</v>
      </c>
      <c r="C43" s="52">
        <f>B43*12</f>
        <v>-5666.6399999999994</v>
      </c>
      <c r="D43" s="69">
        <v>-0.17499999999999999</v>
      </c>
      <c r="E43" s="128">
        <v>654.83000000000004</v>
      </c>
      <c r="F43" s="129">
        <v>4935</v>
      </c>
      <c r="G43" s="127" t="s">
        <v>73</v>
      </c>
    </row>
    <row r="44" spans="1:9" ht="13.2" outlineLevel="1">
      <c r="A44" s="117" t="s">
        <v>79</v>
      </c>
      <c r="B44" s="52">
        <f>IF(B$41&lt;E44,E44*D44,IF(B$41&gt;F44,F44*D44,B$41*D44))</f>
        <v>-206.42760000000001</v>
      </c>
      <c r="C44" s="52">
        <f>B44*12</f>
        <v>-2477.1312000000003</v>
      </c>
      <c r="D44" s="69">
        <v>-7.6499999999999999E-2</v>
      </c>
      <c r="E44" s="128">
        <v>671.02</v>
      </c>
      <c r="F44" s="129">
        <v>4935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-37.752749999999999</v>
      </c>
      <c r="C45" s="52">
        <f>B45*12</f>
        <v>-453.03300000000002</v>
      </c>
      <c r="D45" s="69">
        <v>-1.5299999999999999E-2</v>
      </c>
      <c r="E45" s="128">
        <v>2467.5</v>
      </c>
      <c r="F45" s="129">
        <v>2467.5</v>
      </c>
      <c r="G45" s="115"/>
    </row>
    <row r="46" spans="1:9" outlineLevel="1">
      <c r="A46" s="118" t="s">
        <v>98</v>
      </c>
      <c r="B46" s="52">
        <f>IF(B$41&lt;E46,E46*D46,IF(B$41&gt;F46,F46*D46,B$41*D46))</f>
        <v>-148.04999999999998</v>
      </c>
      <c r="C46" s="52">
        <f>B46*12</f>
        <v>-1776.6</v>
      </c>
      <c r="D46" s="69">
        <v>-0.06</v>
      </c>
      <c r="E46" s="128">
        <v>2467.5</v>
      </c>
      <c r="F46" s="129">
        <v>2467.5</v>
      </c>
    </row>
    <row r="47" spans="1:9">
      <c r="A47" s="32" t="s">
        <v>7</v>
      </c>
      <c r="B47" s="47">
        <f>ROUND(SUM(B42:B46),2)</f>
        <v>-872.7</v>
      </c>
      <c r="C47" s="47">
        <f>ROUND(SUM(C42:C46),2)</f>
        <v>-10472.4</v>
      </c>
      <c r="D47" s="48">
        <f>ROUND(C47/C37,3)</f>
        <v>-0.376</v>
      </c>
      <c r="E47" s="33"/>
      <c r="F47" s="33"/>
    </row>
    <row r="48" spans="1:9" ht="13.5" customHeight="1">
      <c r="A48" s="70" t="s">
        <v>45</v>
      </c>
      <c r="B48" s="50">
        <f>SUM(B41,B47)</f>
        <v>1825.7</v>
      </c>
      <c r="C48" s="50">
        <f>SUM(C37:C40,C47)</f>
        <v>21908.400000000001</v>
      </c>
      <c r="D48" s="51">
        <f>ROUND(C48/C37,3)</f>
        <v>0.78700000000000003</v>
      </c>
      <c r="E48" s="71" t="s">
        <v>46</v>
      </c>
      <c r="F48" s="71" t="s">
        <v>47</v>
      </c>
      <c r="G48" s="72" t="str">
        <f>IF(B57&gt;2,"MKZ","")</f>
        <v/>
      </c>
      <c r="H48" s="15"/>
      <c r="I48" s="15"/>
    </row>
    <row r="49" spans="1:9" ht="13.5" customHeight="1">
      <c r="A49" s="73" t="s">
        <v>48</v>
      </c>
      <c r="B49" s="73"/>
      <c r="C49" s="74">
        <f>IF(ISBLANK(E49),-60,ROUND(MIN(-60,IF(C48&lt;36400,MIN(E49,F49)/-4,((60000-C48)*(MIN(E49,F49)/4-60)/23600+60)*-1)),2))</f>
        <v>-60</v>
      </c>
      <c r="D49" s="3"/>
      <c r="E49" s="75"/>
      <c r="F49" s="76">
        <f>IF(B56=0,2920,IF(B57&lt;3,5840,IF(G49="ohne MKZ",5840,7300)))</f>
        <v>2920</v>
      </c>
      <c r="G49" s="77"/>
      <c r="H49" s="15"/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für",IF(ISBLANK(G51),ROUND((B57-2)*12,0),""),"")</f>
        <v/>
      </c>
      <c r="H50" s="15"/>
      <c r="I50" s="15"/>
    </row>
    <row r="51" spans="1:9">
      <c r="A51" s="19" t="s">
        <v>87</v>
      </c>
      <c r="B51" s="19"/>
      <c r="C51" s="45"/>
      <c r="D51" s="16"/>
      <c r="E51" s="120"/>
      <c r="F51" s="21"/>
      <c r="G51" s="102"/>
      <c r="H51" s="15"/>
      <c r="I51" s="15"/>
    </row>
    <row r="52" spans="1:9" hidden="1">
      <c r="A52" s="79" t="s">
        <v>50</v>
      </c>
      <c r="B52" s="79"/>
      <c r="C52" s="80">
        <f>ROUND(IF(SUM(C48:C51)&lt;0,0,SUM(C48:C51)),2)</f>
        <v>21848.400000000001</v>
      </c>
      <c r="D52" s="81"/>
      <c r="E52" s="82"/>
      <c r="F52" s="83">
        <f>ROUND(IF(C52&gt;36400,0.12,IF(C52&gt;14600,0.1,IF(C52&gt;7300,0.08,0.06)))-SUM(B56/100,B57/100),3)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2184.84</v>
      </c>
      <c r="G53" s="103"/>
      <c r="H53" s="15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94</v>
      </c>
      <c r="B55" s="86">
        <v>1</v>
      </c>
      <c r="C55" s="80">
        <f>ROUND(IF(SUM(C52:C54)&lt;0,0,SUM(C52:C54)),2)</f>
        <v>21848.400000000001</v>
      </c>
      <c r="E55" s="87">
        <f>F55/C55</f>
        <v>-0.18123386609545777</v>
      </c>
      <c r="F55" s="23">
        <f>ROUND(IF(C55&lt;=11000,0,IF(C55&lt;=25000,(C55-11000)*5110/14000,IF(C55&lt;=60000,(C55-25000)*15125/35000+5110,(C55-60000)*0.5+20235)))*-1,2)</f>
        <v>-3959.67</v>
      </c>
      <c r="G55" s="103"/>
    </row>
    <row r="56" spans="1:9" s="20" customFormat="1">
      <c r="A56" s="64" t="str">
        <f>IF(SUM(B56:B57)=1,"Ek Ehe-/Lebenspartner &lt; 6000,-/Jahr","Alleinverdiener, -erzieherabsetzbetrag")</f>
        <v>Alleinverdiener, -erzieherabsetzbetrag</v>
      </c>
      <c r="B56" s="88">
        <f>IF(ISBLANK(F56),0,1)</f>
        <v>0</v>
      </c>
      <c r="C56" s="89"/>
      <c r="E56" s="87">
        <f>F56/C55</f>
        <v>0</v>
      </c>
      <c r="F56" s="90"/>
      <c r="G56" s="103"/>
    </row>
    <row r="57" spans="1:9" s="20" customFormat="1">
      <c r="A57" s="19" t="s">
        <v>52</v>
      </c>
      <c r="B57" s="88">
        <f>IF(F57=130,1,IF(F57=305,2,IF(F57=525,3,IF(F57=745,4,IF(F57=965,5,IF(F57=1185,6,IF(F57=1405,7,0)))))))</f>
        <v>0</v>
      </c>
      <c r="C57" s="21"/>
      <c r="D57" s="19"/>
      <c r="E57" s="87">
        <f>F57/C55</f>
        <v>0</v>
      </c>
      <c r="F57" s="90"/>
      <c r="G57" s="103"/>
    </row>
    <row r="58" spans="1:9" s="20" customFormat="1" hidden="1">
      <c r="A58" s="79" t="s">
        <v>53</v>
      </c>
      <c r="B58" s="79"/>
      <c r="C58" s="80"/>
      <c r="D58" s="79"/>
      <c r="E58" s="91"/>
      <c r="F58" s="80">
        <f>ROUND(IF(F57=0,IF(SUM(F55:F56)&gt;0,0,SUM(F55:F57)),SUM(F55:F57)),2)</f>
        <v>-3959.67</v>
      </c>
      <c r="G58" s="103"/>
    </row>
    <row r="59" spans="1:9" s="20" customFormat="1">
      <c r="A59" s="25" t="s">
        <v>54</v>
      </c>
      <c r="B59" s="92">
        <f>IF(F59&gt;0,1,0)</f>
        <v>0</v>
      </c>
      <c r="C59" s="74"/>
      <c r="E59" s="87">
        <f>F59/C55</f>
        <v>0</v>
      </c>
      <c r="F59" s="90"/>
      <c r="G59" s="103"/>
    </row>
    <row r="60" spans="1:9" s="20" customFormat="1">
      <c r="A60" s="93" t="str">
        <f>IF(F60&lt;=0,"Einkommensteuer (ESt) des Jahres","ESt-Gutschrift aus Negativsteuer")</f>
        <v>Einkommensteuer (ESt) des Jahres</v>
      </c>
      <c r="B60" s="93"/>
      <c r="C60" s="80">
        <f>F60</f>
        <v>-3959.67</v>
      </c>
      <c r="D60" s="51">
        <f>ROUND(C60/C37,3)</f>
        <v>-0.14199999999999999</v>
      </c>
      <c r="E60" s="91">
        <f>SUM(E55:E59)</f>
        <v>-0.18123386609545777</v>
      </c>
      <c r="F60" s="80">
        <f>ROUND(IF(F58&gt;0,F58,IF(SUM(F58:F59)&gt;0,0,SUM(F58:F59))),2)</f>
        <v>-3959.67</v>
      </c>
      <c r="G60" s="74" t="str">
        <f>IF(G49="inkl. MKZ für",IF(B57&gt;2,IF(ISBLANK(G51),ROUND(G50*20,2),ROUND(G51*20,2)),""),"")</f>
        <v/>
      </c>
    </row>
    <row r="61" spans="1:9" s="20" customFormat="1" ht="13.5" customHeight="1" thickBot="1">
      <c r="A61" s="94" t="s">
        <v>93</v>
      </c>
      <c r="B61" s="95"/>
      <c r="C61" s="96">
        <f>SUM(C55:C60)</f>
        <v>17888.730000000003</v>
      </c>
      <c r="D61" s="122">
        <f>ROUND(C61/C37,3)</f>
        <v>0.64300000000000002</v>
      </c>
      <c r="E61" s="323" t="str">
        <f>IF(C55&lt;=11000,"",CONCATENATE(" (Grenzsteuersatz .. ",IF(C55&lt;=25000,"36,5 %",IF(C55&lt;=60000,"43,2 %","50 %")),")"))</f>
        <v xml:space="preserve"> (Grenzsteuersatz .. 36,5 %)</v>
      </c>
      <c r="F61" s="323"/>
    </row>
    <row r="62" spans="1:9" s="20" customFormat="1" ht="29.25" customHeight="1" thickTop="1">
      <c r="A62" s="26"/>
      <c r="B62" s="26"/>
      <c r="C62" s="27"/>
      <c r="D62" s="27"/>
      <c r="E62" s="27"/>
      <c r="F62" s="39"/>
    </row>
    <row r="63" spans="1:9" ht="12">
      <c r="A63" s="1" t="s">
        <v>63</v>
      </c>
      <c r="B63" s="2" t="s">
        <v>0</v>
      </c>
      <c r="C63" s="2" t="s">
        <v>1</v>
      </c>
      <c r="D63" s="34" t="s">
        <v>4</v>
      </c>
      <c r="E63" s="35"/>
      <c r="F63" s="104" t="s">
        <v>58</v>
      </c>
    </row>
    <row r="64" spans="1:9">
      <c r="A64" s="4" t="s">
        <v>5</v>
      </c>
      <c r="B64" s="53">
        <f>ROUND(B11,2)</f>
        <v>3000</v>
      </c>
      <c r="C64" s="18">
        <f>B64*12</f>
        <v>36000</v>
      </c>
      <c r="D64" s="57">
        <v>1</v>
      </c>
    </row>
    <row r="65" spans="1:6">
      <c r="A65" s="4" t="s">
        <v>92</v>
      </c>
      <c r="B65" s="54">
        <f>ROUND(SUM(B14:B16,B18:B23,B25:B30,B32:B33),2)</f>
        <v>0</v>
      </c>
      <c r="C65" s="18">
        <f>B65*12</f>
        <v>0</v>
      </c>
      <c r="D65" s="57">
        <f>ROUND(B65/B64,3)</f>
        <v>0</v>
      </c>
    </row>
    <row r="66" spans="1:6">
      <c r="A66" s="16" t="s">
        <v>7</v>
      </c>
      <c r="B66" s="53">
        <f>ROUND(B47,2)</f>
        <v>-872.7</v>
      </c>
      <c r="C66" s="18">
        <f>B66*12</f>
        <v>-10472.400000000001</v>
      </c>
      <c r="D66" s="57">
        <f>ROUND(B66/B64,3)</f>
        <v>-0.29099999999999998</v>
      </c>
      <c r="E66" s="123" t="str">
        <f>CONCATENATE(" (davon  ",ROUND(SUM(C40,C66),2)," Nachforderung)")</f>
        <v xml:space="preserve"> (davon  -2312,4 Nachforderung)</v>
      </c>
    </row>
    <row r="67" spans="1:6">
      <c r="A67" s="4" t="s">
        <v>90</v>
      </c>
      <c r="B67" s="53">
        <f>ROUND(C60/12,2)</f>
        <v>-329.97</v>
      </c>
      <c r="C67" s="18">
        <f>B67*12</f>
        <v>-3959.6400000000003</v>
      </c>
      <c r="D67" s="57">
        <f>ROUND(B67/B64,3)</f>
        <v>-0.11</v>
      </c>
    </row>
    <row r="68" spans="1:6" ht="12" thickBot="1">
      <c r="A68" s="8" t="s">
        <v>55</v>
      </c>
      <c r="B68" s="55">
        <f>ROUND(SUM(B64:B67),2)</f>
        <v>1797.33</v>
      </c>
      <c r="C68" s="28">
        <f>B68*12</f>
        <v>21567.96</v>
      </c>
      <c r="D68" s="58">
        <f>ROUND(B68/B64,4)</f>
        <v>0.59909999999999997</v>
      </c>
      <c r="E68" s="38"/>
      <c r="F68" s="37"/>
    </row>
    <row r="69" spans="1:6" ht="12.6" thickTop="1" thickBot="1">
      <c r="A69" s="29" t="s">
        <v>56</v>
      </c>
      <c r="B69" s="56">
        <f>ROUND(B68*12/14,2)</f>
        <v>1540.57</v>
      </c>
      <c r="C69" s="97"/>
      <c r="D69" s="98"/>
      <c r="E69" s="99"/>
      <c r="F69" s="99"/>
    </row>
    <row r="70" spans="1:6" s="20" customFormat="1" ht="25.5" customHeight="1" thickTop="1">
      <c r="A70" s="26"/>
      <c r="B70" s="26"/>
      <c r="C70" s="27"/>
      <c r="D70" s="27"/>
      <c r="E70" s="27"/>
      <c r="F70" s="39"/>
    </row>
    <row r="71" spans="1:6" ht="13.2">
      <c r="A71" s="108" t="s">
        <v>64</v>
      </c>
      <c r="B71" s="2" t="s">
        <v>0</v>
      </c>
      <c r="C71" s="2" t="s">
        <v>1</v>
      </c>
      <c r="D71" s="34"/>
      <c r="E71" s="35"/>
      <c r="F71" s="104" t="s">
        <v>58</v>
      </c>
    </row>
    <row r="72" spans="1:6" ht="13.5" customHeight="1">
      <c r="A72" s="20" t="s">
        <v>59</v>
      </c>
      <c r="B72" s="105">
        <f>C72/12</f>
        <v>2127.2999999999997</v>
      </c>
      <c r="C72" s="105">
        <f>C11+C34+C47-C17-C31-C33</f>
        <v>25527.599999999999</v>
      </c>
    </row>
    <row r="73" spans="1:6">
      <c r="A73" s="20" t="s">
        <v>60</v>
      </c>
      <c r="B73" s="105">
        <f>C73/12</f>
        <v>0</v>
      </c>
      <c r="C73" s="105">
        <f>C33</f>
        <v>0</v>
      </c>
    </row>
    <row r="74" spans="1:6">
      <c r="A74" s="93" t="s">
        <v>61</v>
      </c>
      <c r="B74" s="80">
        <f>SUM(B72:B73)</f>
        <v>2127.2999999999997</v>
      </c>
      <c r="C74" s="80">
        <f>SUM(C72:C73)</f>
        <v>25527.599999999999</v>
      </c>
    </row>
    <row r="75" spans="1:6">
      <c r="A75" s="20" t="s">
        <v>62</v>
      </c>
      <c r="B75" s="105">
        <f>C75/12</f>
        <v>0</v>
      </c>
      <c r="C75" s="105">
        <f>C17</f>
        <v>0</v>
      </c>
    </row>
    <row r="76" spans="1:6" ht="12" thickBot="1">
      <c r="A76" s="106" t="str">
        <f>IF(C76&lt;0,"   V e r l u s t","   G e w i n n   ( Überschuß)")</f>
        <v xml:space="preserve">   G e w i n n   ( Überschuß)</v>
      </c>
      <c r="B76" s="107">
        <f>ROUND(SUM(B74:B75),2)</f>
        <v>2127.3000000000002</v>
      </c>
      <c r="C76" s="107">
        <f>ROUND(SUM(C74:C75),2)</f>
        <v>25527.599999999999</v>
      </c>
      <c r="D76" s="109"/>
      <c r="E76" s="37"/>
      <c r="F76" s="37"/>
    </row>
    <row r="77" spans="1:6" s="20" customFormat="1" ht="25.5" customHeight="1" thickTop="1">
      <c r="A77" s="26"/>
      <c r="B77" s="26"/>
      <c r="C77" s="27"/>
      <c r="D77" s="27"/>
      <c r="E77" s="27"/>
      <c r="F77" s="39"/>
    </row>
    <row r="78" spans="1:6" ht="13.2">
      <c r="A78" s="108" t="s">
        <v>65</v>
      </c>
      <c r="B78" s="2" t="s">
        <v>0</v>
      </c>
      <c r="C78" s="2" t="s">
        <v>1</v>
      </c>
      <c r="D78" s="34"/>
      <c r="E78" s="35"/>
      <c r="F78" s="104" t="s">
        <v>58</v>
      </c>
    </row>
    <row r="79" spans="1:6" ht="12.75" customHeight="1">
      <c r="A79" s="4" t="s">
        <v>66</v>
      </c>
      <c r="C79" s="113"/>
    </row>
    <row r="80" spans="1:6">
      <c r="A80" s="110" t="s">
        <v>67</v>
      </c>
      <c r="B80" s="111"/>
      <c r="C80" s="46"/>
    </row>
    <row r="81" spans="1:6" ht="14.25" customHeight="1">
      <c r="A81" s="4" t="s">
        <v>68</v>
      </c>
      <c r="C81" s="18">
        <f>SUM(C79:C80)</f>
        <v>0</v>
      </c>
    </row>
    <row r="82" spans="1:6">
      <c r="A82" s="110" t="s">
        <v>69</v>
      </c>
      <c r="B82" s="111"/>
      <c r="C82" s="46"/>
      <c r="D82" s="114"/>
      <c r="E82" s="112">
        <f>SUM(C81:C82)</f>
        <v>0</v>
      </c>
    </row>
    <row r="83" spans="1:6" ht="17.25" customHeight="1">
      <c r="A83" s="4" t="s">
        <v>70</v>
      </c>
      <c r="B83" s="18">
        <f>C83/12</f>
        <v>1797.33</v>
      </c>
      <c r="C83" s="18">
        <f>C68</f>
        <v>21567.96</v>
      </c>
    </row>
    <row r="84" spans="1:6">
      <c r="A84" s="110" t="s">
        <v>71</v>
      </c>
      <c r="B84" s="46"/>
      <c r="C84" s="112">
        <f>B84*12</f>
        <v>0</v>
      </c>
      <c r="D84" s="114"/>
      <c r="E84" s="112">
        <f>SUM(C83:C84)</f>
        <v>21567.96</v>
      </c>
    </row>
    <row r="85" spans="1:6" ht="13.5" customHeight="1">
      <c r="A85" s="4" t="s">
        <v>72</v>
      </c>
      <c r="B85" s="18">
        <f>C85/12</f>
        <v>0</v>
      </c>
      <c r="C85" s="113"/>
      <c r="E85" s="18">
        <f>C85</f>
        <v>0</v>
      </c>
    </row>
    <row r="86" spans="1:6" ht="15" customHeight="1" thickBot="1">
      <c r="A86" s="106" t="str">
        <f>IF(C86&lt;0,"   U n t e r d e c k u n g   gesamt","   Ü b e r d e c k u n g   gesamt")</f>
        <v xml:space="preserve">   Ü b e r d e c k u n g   gesamt</v>
      </c>
      <c r="B86" s="9"/>
      <c r="C86" s="28">
        <f>SUM(C81:C85)</f>
        <v>21567.96</v>
      </c>
      <c r="D86" s="109"/>
      <c r="E86" s="28">
        <f>SUM(E82:E85)</f>
        <v>21567.96</v>
      </c>
      <c r="F86" s="37"/>
    </row>
    <row r="87" spans="1:6" s="20" customFormat="1" ht="25.5" customHeight="1" thickTop="1">
      <c r="A87" s="26"/>
      <c r="B87" s="26"/>
      <c r="C87" s="27"/>
      <c r="D87" s="27"/>
      <c r="E87" s="27"/>
      <c r="F87" s="39"/>
    </row>
    <row r="88" spans="1:6">
      <c r="C88" s="5"/>
    </row>
    <row r="89" spans="1:6">
      <c r="C89" s="5"/>
    </row>
    <row r="90" spans="1:6">
      <c r="C90" s="5"/>
    </row>
    <row r="91" spans="1:6">
      <c r="C91" s="5"/>
    </row>
    <row r="92" spans="1:6">
      <c r="C92" s="5"/>
    </row>
    <row r="93" spans="1:6">
      <c r="C93" s="5"/>
    </row>
    <row r="94" spans="1:6">
      <c r="C94" s="5"/>
    </row>
    <row r="95" spans="1:6">
      <c r="C95" s="5"/>
    </row>
    <row r="96" spans="1:6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</sheetData>
  <sheetProtection sheet="1" objects="1" scenarios="1" autoFilter="0"/>
  <mergeCells count="4">
    <mergeCell ref="D42:F42"/>
    <mergeCell ref="A1:D1"/>
    <mergeCell ref="E1:F1"/>
    <mergeCell ref="E61:F61"/>
  </mergeCells>
  <phoneticPr fontId="7" type="noConversion"/>
  <conditionalFormatting sqref="F56">
    <cfRule type="expression" dxfId="65" priority="1" stopIfTrue="1">
      <formula>AND(F56=0,F57&gt;0)</formula>
    </cfRule>
  </conditionalFormatting>
  <conditionalFormatting sqref="B56">
    <cfRule type="expression" dxfId="64" priority="2" stopIfTrue="1">
      <formula>AND(F56=0,F57&gt;0)</formula>
    </cfRule>
  </conditionalFormatting>
  <conditionalFormatting sqref="B57">
    <cfRule type="expression" dxfId="63" priority="3" stopIfTrue="1">
      <formula>AND(F56=0,F57&gt;0)</formula>
    </cfRule>
  </conditionalFormatting>
  <conditionalFormatting sqref="G49">
    <cfRule type="expression" dxfId="62" priority="4" stopIfTrue="1">
      <formula>AND(B57&gt;2)</formula>
    </cfRule>
  </conditionalFormatting>
  <conditionalFormatting sqref="G52:G59">
    <cfRule type="expression" dxfId="61" priority="5" stopIfTrue="1">
      <formula>AND(B$57&gt;2)</formula>
    </cfRule>
  </conditionalFormatting>
  <conditionalFormatting sqref="G60">
    <cfRule type="expression" dxfId="60" priority="6" stopIfTrue="1">
      <formula>AND(B57&gt;2)</formula>
    </cfRule>
  </conditionalFormatting>
  <conditionalFormatting sqref="G48">
    <cfRule type="expression" dxfId="59" priority="7" stopIfTrue="1">
      <formula>AND(B57&gt;2)</formula>
    </cfRule>
  </conditionalFormatting>
  <conditionalFormatting sqref="G51">
    <cfRule type="expression" dxfId="58" priority="8" stopIfTrue="1">
      <formula>AND(B57&gt;2)</formula>
    </cfRule>
  </conditionalFormatting>
  <conditionalFormatting sqref="G50">
    <cfRule type="expression" dxfId="57" priority="9" stopIfTrue="1">
      <formula>AND(B57&gt;2)</formula>
    </cfRule>
  </conditionalFormatting>
  <conditionalFormatting sqref="E66">
    <cfRule type="expression" dxfId="56" priority="10" stopIfTrue="1">
      <formula>SUM(C40,C66)&lt;0</formula>
    </cfRule>
  </conditionalFormatting>
  <conditionalFormatting sqref="D38">
    <cfRule type="cellIs" dxfId="55" priority="11" stopIfTrue="1" operator="notBetween">
      <formula>0</formula>
      <formula>-0.13</formula>
    </cfRule>
  </conditionalFormatting>
  <conditionalFormatting sqref="F57">
    <cfRule type="expression" dxfId="54" priority="12" stopIfTrue="1">
      <formula>AND(F56=0,F57&gt;0)</formula>
    </cfRule>
    <cfRule type="expression" dxfId="53" priority="13" stopIfTrue="1">
      <formula>AND(F56&gt;0,F57=0)</formula>
    </cfRule>
  </conditionalFormatting>
  <dataValidations count="20"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  <dataValidation type="list" operator="equal" allowBlank="1" showInputMessage="1" showErrorMessage="1" errorTitle="RVO zu Absetzbetrag:" error="Wert Null oder 364 gefordert!" sqref="F56">
      <formula1>"0,364"</formula1>
    </dataValidation>
    <dataValidation type="list" allowBlank="1" showInputMessage="1" showErrorMessage="1" errorTitle="RVO zu Kinderzuschlag:" error="Eingabe lt. Liste. Die Werte steigen nach Anzahl der Kinder!" sqref="F57">
      <formula1>"0,130,305,525,745,965,1185,1405"</formula1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C79:C80 B84 B14:B33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Einnahme!" error="Werte zwischen Null und 999.999,- erlaubt!" sqref="C82 B3:B1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51">
      <formula1>-2200</formula1>
      <formula2>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59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</dataValidations>
  <hyperlinks>
    <hyperlink ref="F36" r:id="rId1" display="www.rvo.at"/>
    <hyperlink ref="F63" r:id="rId2" display="www.rvo.at"/>
    <hyperlink ref="F71" r:id="rId3" display="www.rvo.at"/>
    <hyperlink ref="F78" r:id="rId4" display="www.rvo.at"/>
    <hyperlink ref="G43" r:id="rId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&amp;L&amp;8&amp;Z&amp;F&amp;R&amp;8(c) www.rvo.at</oddFooter>
  </headerFooter>
  <rowBreaks count="1" manualBreakCount="1">
    <brk id="62" max="5" man="1"/>
  </rowBreaks>
  <legacyDrawing r:id="rId7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8"/>
  <sheetViews>
    <sheetView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88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20.25" customHeight="1" thickTop="1">
      <c r="A35" s="10"/>
      <c r="B35" s="11"/>
      <c r="C35" s="11"/>
      <c r="D35" s="12"/>
      <c r="E35" s="13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25" t="str">
        <f>CONCATENATE("  max .. ",ROUND(MIN(0,(C37-30000)*-0.13),2))</f>
        <v xml:space="preserve">  max .. 0</v>
      </c>
      <c r="F39" s="30"/>
    </row>
    <row r="40" spans="1:9">
      <c r="A40" s="16" t="s">
        <v>89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-8.1999999999999993</v>
      </c>
      <c r="C42" s="52">
        <f>ROUND(B42*12,2)</f>
        <v>-98.4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-472.21999999999997</v>
      </c>
      <c r="C43" s="52">
        <f>B43*12</f>
        <v>-5666.6399999999994</v>
      </c>
      <c r="D43" s="69">
        <v>-0.17499999999999999</v>
      </c>
      <c r="E43" s="128">
        <v>743.2</v>
      </c>
      <c r="F43" s="129">
        <v>4900</v>
      </c>
      <c r="G43" s="127" t="s">
        <v>73</v>
      </c>
    </row>
    <row r="44" spans="1:9" ht="13.2" outlineLevel="1">
      <c r="A44" s="117" t="s">
        <v>79</v>
      </c>
      <c r="B44" s="52">
        <f>IF(B$41&lt;E44,E44*D44,IF(B$41&gt;F44,F44*D44,B$41*D44))</f>
        <v>-206.42760000000001</v>
      </c>
      <c r="C44" s="52">
        <f>B44*12</f>
        <v>-2477.1312000000003</v>
      </c>
      <c r="D44" s="69">
        <v>-7.6499999999999999E-2</v>
      </c>
      <c r="E44" s="128">
        <v>667.02</v>
      </c>
      <c r="F44" s="129">
        <v>4900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-37.484999999999999</v>
      </c>
      <c r="C45" s="52">
        <f>B45*12</f>
        <v>-449.82</v>
      </c>
      <c r="D45" s="69">
        <v>-1.5299999999999999E-2</v>
      </c>
      <c r="E45" s="128">
        <v>2450</v>
      </c>
      <c r="F45" s="129">
        <v>2450</v>
      </c>
      <c r="G45" s="115"/>
    </row>
    <row r="46" spans="1:9" outlineLevel="1">
      <c r="A46" s="118" t="s">
        <v>98</v>
      </c>
      <c r="B46" s="52">
        <f>IF(B$41&lt;E46,E46*D46,IF(B$41&gt;F46,F46*D46,B$41*D46))</f>
        <v>-147</v>
      </c>
      <c r="C46" s="52">
        <f>B46*12</f>
        <v>-1764</v>
      </c>
      <c r="D46" s="69">
        <v>-0.06</v>
      </c>
      <c r="E46" s="128">
        <v>2450</v>
      </c>
      <c r="F46" s="129">
        <v>2450</v>
      </c>
    </row>
    <row r="47" spans="1:9">
      <c r="A47" s="32" t="s">
        <v>7</v>
      </c>
      <c r="B47" s="47">
        <f>ROUND(SUM(B42:B46),2)</f>
        <v>-871.33</v>
      </c>
      <c r="C47" s="47">
        <f>ROUND(SUM(C42:C46),2)</f>
        <v>-10455.99</v>
      </c>
      <c r="D47" s="48">
        <f>ROUND(C47/C37,3)</f>
        <v>-0.376</v>
      </c>
      <c r="E47" s="33"/>
      <c r="F47" s="33"/>
    </row>
    <row r="48" spans="1:9" ht="13.5" customHeight="1">
      <c r="A48" s="70" t="s">
        <v>45</v>
      </c>
      <c r="B48" s="50">
        <f>SUM(B41,B47)</f>
        <v>1827.0700000000002</v>
      </c>
      <c r="C48" s="50">
        <f>SUM(C37:C40,C47)</f>
        <v>21924.809999999998</v>
      </c>
      <c r="D48" s="51">
        <f>ROUND(C48/C37,3)</f>
        <v>0.78800000000000003</v>
      </c>
      <c r="E48" s="71" t="s">
        <v>46</v>
      </c>
      <c r="F48" s="71" t="s">
        <v>47</v>
      </c>
      <c r="G48" s="72" t="str">
        <f>IF(B57&gt;2,"MKZ","")</f>
        <v/>
      </c>
      <c r="H48" s="15"/>
      <c r="I48" s="15"/>
    </row>
    <row r="49" spans="1:9" ht="13.5" customHeight="1">
      <c r="A49" s="73" t="s">
        <v>48</v>
      </c>
      <c r="B49" s="73"/>
      <c r="C49" s="74">
        <f>IF(ISBLANK(E49),-60,ROUND(MIN(-60,IF(C48&lt;36400,MIN(E49,F49)/-4,((60000-C48)*(MIN(E49,F49)/4-60)/23600+60)*-1)),2))</f>
        <v>-60</v>
      </c>
      <c r="D49" s="3"/>
      <c r="E49" s="75"/>
      <c r="F49" s="76">
        <f>IF(B56=0,2920,IF(B57&lt;3,5840,IF(G49="ohne MKZ",5840,7300)))</f>
        <v>2920</v>
      </c>
      <c r="G49" s="77"/>
      <c r="H49" s="15"/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für",IF(ISBLANK(G51),ROUND((B57-2)*12,0),""),"")</f>
        <v/>
      </c>
      <c r="H50" s="15"/>
      <c r="I50" s="15"/>
    </row>
    <row r="51" spans="1:9">
      <c r="A51" s="19" t="s">
        <v>87</v>
      </c>
      <c r="B51" s="19"/>
      <c r="C51" s="45"/>
      <c r="D51" s="16"/>
      <c r="E51" s="120"/>
      <c r="F51" s="21"/>
      <c r="G51" s="102"/>
      <c r="H51" s="15"/>
      <c r="I51" s="15"/>
    </row>
    <row r="52" spans="1:9" hidden="1">
      <c r="A52" s="79" t="s">
        <v>50</v>
      </c>
      <c r="B52" s="79"/>
      <c r="C52" s="80">
        <f>ROUND(IF(SUM(C48:C51)&lt;0,0,SUM(C48:C51)),2)</f>
        <v>21864.81</v>
      </c>
      <c r="D52" s="81"/>
      <c r="E52" s="82"/>
      <c r="F52" s="83">
        <f>ROUND(IF(C52&gt;36400,0.12,IF(C52&gt;14600,0.1,IF(C52&gt;7300,0.08,0.06)))-SUM(B56/100,B57/100),3)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2186.48</v>
      </c>
      <c r="G53" s="103"/>
      <c r="H53" s="15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94</v>
      </c>
      <c r="B55" s="86">
        <v>1</v>
      </c>
      <c r="C55" s="80">
        <f>ROUND(IF(SUM(C52:C54)&lt;0,0,SUM(C52:C54)),2)</f>
        <v>21864.81</v>
      </c>
      <c r="E55" s="87">
        <f>F55/C55</f>
        <v>-0.18137180245334852</v>
      </c>
      <c r="F55" s="23">
        <f>ROUND(IF(C55&lt;=11000,0,IF(C55&lt;=25000,(C55-11000)*5110/14000,IF(C55&lt;=60000,(C55-25000)*15125/35000+5110,(C55-60000)*0.5+20235)))*-1,2)</f>
        <v>-3965.66</v>
      </c>
      <c r="G55" s="103"/>
    </row>
    <row r="56" spans="1:9" s="20" customFormat="1">
      <c r="A56" s="19" t="s">
        <v>8</v>
      </c>
      <c r="B56" s="88">
        <f>IF(F56&gt;0,1,0)</f>
        <v>0</v>
      </c>
      <c r="C56" s="89"/>
      <c r="E56" s="87">
        <f>F56/C55</f>
        <v>0</v>
      </c>
      <c r="F56" s="90"/>
      <c r="G56" s="103"/>
    </row>
    <row r="57" spans="1:9" s="20" customFormat="1">
      <c r="A57" s="19" t="s">
        <v>52</v>
      </c>
      <c r="B57" s="88">
        <f>IF(F57=130,1,IF(F57=305,2,IF(F57=525,3,IF(F57=745,4,IF(F57=965,5,IF(F57=1185,6,IF(F57=1405,7,0)))))))</f>
        <v>0</v>
      </c>
      <c r="C57" s="21"/>
      <c r="D57" s="19"/>
      <c r="E57" s="87">
        <f>F57/C55</f>
        <v>0</v>
      </c>
      <c r="F57" s="90"/>
      <c r="G57" s="103"/>
    </row>
    <row r="58" spans="1:9" s="20" customFormat="1" hidden="1">
      <c r="A58" s="79" t="s">
        <v>53</v>
      </c>
      <c r="B58" s="79"/>
      <c r="C58" s="80"/>
      <c r="D58" s="79"/>
      <c r="E58" s="91"/>
      <c r="F58" s="80">
        <f>ROUND(IF(F57=0,IF(SUM(F55:F56)&gt;0,0,SUM(F55:F57)),SUM(F55:F57)),2)</f>
        <v>-3965.66</v>
      </c>
      <c r="G58" s="103"/>
    </row>
    <row r="59" spans="1:9" s="20" customFormat="1">
      <c r="A59" s="25" t="s">
        <v>54</v>
      </c>
      <c r="B59" s="92">
        <f>IF(F59&gt;0,1,0)</f>
        <v>0</v>
      </c>
      <c r="C59" s="74"/>
      <c r="E59" s="87">
        <f>F59/C55</f>
        <v>0</v>
      </c>
      <c r="F59" s="90"/>
      <c r="G59" s="103"/>
    </row>
    <row r="60" spans="1:9" s="20" customFormat="1">
      <c r="A60" s="93" t="str">
        <f>IF(F60&lt;=0,"Einkommensteuer (ESt) des Jahres","ESt-Gutschrift aus Negativsteuer")</f>
        <v>Einkommensteuer (ESt) des Jahres</v>
      </c>
      <c r="B60" s="93"/>
      <c r="C60" s="80">
        <f>F60</f>
        <v>-3965.66</v>
      </c>
      <c r="D60" s="51">
        <f>ROUND(C60/C37,3)</f>
        <v>-0.14199999999999999</v>
      </c>
      <c r="E60" s="91">
        <f>SUM(E55:E59)</f>
        <v>-0.18137180245334852</v>
      </c>
      <c r="F60" s="80">
        <f>ROUND(IF(F58&gt;0,F58,IF(SUM(F58:F59)&gt;0,0,SUM(F58:F59))),2)</f>
        <v>-3965.66</v>
      </c>
      <c r="G60" s="74" t="str">
        <f>IF(G49="inkl. MKZ für",IF(B57&gt;2,IF(ISBLANK(G51),ROUND(G50*20,2),ROUND(G51*20,2)),""),"")</f>
        <v/>
      </c>
    </row>
    <row r="61" spans="1:9" s="20" customFormat="1" ht="13.5" customHeight="1" thickBot="1">
      <c r="A61" s="94" t="s">
        <v>93</v>
      </c>
      <c r="B61" s="95"/>
      <c r="C61" s="96">
        <f>SUM(C55:C60)</f>
        <v>17899.150000000001</v>
      </c>
      <c r="D61" s="122">
        <f>ROUND(C61/C37,3)</f>
        <v>0.64300000000000002</v>
      </c>
      <c r="E61" s="323" t="str">
        <f>IF(C55&lt;=11000,"",CONCATENATE(" (Grenzsteuersatz .. ",IF(C55&lt;=25000,"36,5 %",IF(C55&lt;=60000,"43,2 %","50 %")),")"))</f>
        <v xml:space="preserve"> (Grenzsteuersatz .. 36,5 %)</v>
      </c>
      <c r="F61" s="323"/>
    </row>
    <row r="62" spans="1:9" s="20" customFormat="1" ht="29.25" customHeight="1" thickTop="1">
      <c r="A62" s="26"/>
      <c r="B62" s="26"/>
      <c r="C62" s="27"/>
      <c r="D62" s="27"/>
      <c r="E62" s="27"/>
      <c r="F62" s="39"/>
    </row>
    <row r="63" spans="1:9" ht="12">
      <c r="A63" s="1" t="s">
        <v>63</v>
      </c>
      <c r="B63" s="2" t="s">
        <v>0</v>
      </c>
      <c r="C63" s="2" t="s">
        <v>1</v>
      </c>
      <c r="D63" s="34" t="s">
        <v>4</v>
      </c>
      <c r="E63" s="35"/>
      <c r="F63" s="104" t="s">
        <v>58</v>
      </c>
    </row>
    <row r="64" spans="1:9">
      <c r="A64" s="4" t="s">
        <v>5</v>
      </c>
      <c r="B64" s="53">
        <f>ROUND(B11,2)</f>
        <v>3000</v>
      </c>
      <c r="C64" s="18">
        <f>B64*12</f>
        <v>36000</v>
      </c>
      <c r="D64" s="57">
        <v>1</v>
      </c>
    </row>
    <row r="65" spans="1:6">
      <c r="A65" s="4" t="s">
        <v>92</v>
      </c>
      <c r="B65" s="54">
        <f>ROUND(SUM(B14:B16,B18:B23,B25:B30,B32:B33),2)</f>
        <v>0</v>
      </c>
      <c r="C65" s="18">
        <f>B65*12</f>
        <v>0</v>
      </c>
      <c r="D65" s="57">
        <f>ROUND(B65/B64,3)</f>
        <v>0</v>
      </c>
    </row>
    <row r="66" spans="1:6">
      <c r="A66" s="16" t="s">
        <v>7</v>
      </c>
      <c r="B66" s="53">
        <f>ROUND(B47,2)</f>
        <v>-871.33</v>
      </c>
      <c r="C66" s="18">
        <f>B66*12</f>
        <v>-10455.960000000001</v>
      </c>
      <c r="D66" s="57">
        <f>ROUND(B66/B64,3)</f>
        <v>-0.28999999999999998</v>
      </c>
      <c r="E66" s="123" t="str">
        <f>CONCATENATE(" (davon  ",ROUND(SUM(C40,C66),2)," Nachforderung)")</f>
        <v xml:space="preserve"> (davon  -2295,96 Nachforderung)</v>
      </c>
    </row>
    <row r="67" spans="1:6">
      <c r="A67" s="4" t="s">
        <v>90</v>
      </c>
      <c r="B67" s="53">
        <f>ROUND(C60/12,2)</f>
        <v>-330.47</v>
      </c>
      <c r="C67" s="18">
        <f>B67*12</f>
        <v>-3965.6400000000003</v>
      </c>
      <c r="D67" s="57">
        <f>ROUND(B67/B64,3)</f>
        <v>-0.11</v>
      </c>
    </row>
    <row r="68" spans="1:6" ht="12" thickBot="1">
      <c r="A68" s="8" t="s">
        <v>55</v>
      </c>
      <c r="B68" s="55">
        <f>ROUND(SUM(B64:B67),2)</f>
        <v>1798.2</v>
      </c>
      <c r="C68" s="28">
        <f>B68*12</f>
        <v>21578.400000000001</v>
      </c>
      <c r="D68" s="58">
        <f>ROUND(B68/B64,4)</f>
        <v>0.59940000000000004</v>
      </c>
      <c r="E68" s="38"/>
      <c r="F68" s="37"/>
    </row>
    <row r="69" spans="1:6" ht="12.6" thickTop="1" thickBot="1">
      <c r="A69" s="29" t="s">
        <v>56</v>
      </c>
      <c r="B69" s="56">
        <f>ROUND(B68*12/14,2)</f>
        <v>1541.31</v>
      </c>
      <c r="C69" s="97"/>
      <c r="D69" s="98"/>
      <c r="E69" s="99"/>
      <c r="F69" s="99"/>
    </row>
    <row r="70" spans="1:6" s="20" customFormat="1" ht="25.5" customHeight="1" thickTop="1">
      <c r="A70" s="26"/>
      <c r="B70" s="26"/>
      <c r="C70" s="27"/>
      <c r="D70" s="27"/>
      <c r="E70" s="27"/>
      <c r="F70" s="39"/>
    </row>
    <row r="71" spans="1:6" ht="13.2">
      <c r="A71" s="108" t="s">
        <v>64</v>
      </c>
      <c r="B71" s="2" t="s">
        <v>0</v>
      </c>
      <c r="C71" s="2" t="s">
        <v>1</v>
      </c>
      <c r="D71" s="34"/>
      <c r="E71" s="35"/>
      <c r="F71" s="104" t="s">
        <v>58</v>
      </c>
    </row>
    <row r="72" spans="1:6" ht="13.5" customHeight="1">
      <c r="A72" s="20" t="s">
        <v>59</v>
      </c>
      <c r="B72" s="105">
        <f>C72/12</f>
        <v>2128.6675</v>
      </c>
      <c r="C72" s="105">
        <f>C11+C34+C47-C17-C31-C33</f>
        <v>25544.010000000002</v>
      </c>
    </row>
    <row r="73" spans="1:6">
      <c r="A73" s="20" t="s">
        <v>60</v>
      </c>
      <c r="B73" s="105">
        <f>C73/12</f>
        <v>0</v>
      </c>
      <c r="C73" s="105">
        <f>C33</f>
        <v>0</v>
      </c>
    </row>
    <row r="74" spans="1:6">
      <c r="A74" s="93" t="s">
        <v>61</v>
      </c>
      <c r="B74" s="80">
        <f>SUM(B72:B73)</f>
        <v>2128.6675</v>
      </c>
      <c r="C74" s="80">
        <f>SUM(C72:C73)</f>
        <v>25544.010000000002</v>
      </c>
    </row>
    <row r="75" spans="1:6">
      <c r="A75" s="20" t="s">
        <v>62</v>
      </c>
      <c r="B75" s="105">
        <f>C75/12</f>
        <v>0</v>
      </c>
      <c r="C75" s="105">
        <f>C17</f>
        <v>0</v>
      </c>
    </row>
    <row r="76" spans="1:6" ht="12" thickBot="1">
      <c r="A76" s="106" t="str">
        <f>IF(C76&lt;0,"   V e r l u s t","   G e w i n n   ( Überschuß)")</f>
        <v xml:space="preserve">   G e w i n n   ( Überschuß)</v>
      </c>
      <c r="B76" s="107">
        <f>ROUND(SUM(B74:B75),2)</f>
        <v>2128.67</v>
      </c>
      <c r="C76" s="107">
        <f>ROUND(SUM(C74:C75),2)</f>
        <v>25544.01</v>
      </c>
      <c r="D76" s="109"/>
      <c r="E76" s="37"/>
      <c r="F76" s="37"/>
    </row>
    <row r="77" spans="1:6" s="20" customFormat="1" ht="25.5" customHeight="1" thickTop="1">
      <c r="A77" s="26"/>
      <c r="B77" s="26"/>
      <c r="C77" s="27"/>
      <c r="D77" s="27"/>
      <c r="E77" s="27"/>
      <c r="F77" s="39"/>
    </row>
    <row r="78" spans="1:6" ht="13.2">
      <c r="A78" s="108" t="s">
        <v>65</v>
      </c>
      <c r="B78" s="2" t="s">
        <v>0</v>
      </c>
      <c r="C78" s="2" t="s">
        <v>1</v>
      </c>
      <c r="D78" s="34"/>
      <c r="E78" s="35"/>
      <c r="F78" s="104" t="s">
        <v>58</v>
      </c>
    </row>
    <row r="79" spans="1:6" ht="12.75" customHeight="1">
      <c r="A79" s="4" t="s">
        <v>66</v>
      </c>
      <c r="C79" s="113"/>
    </row>
    <row r="80" spans="1:6">
      <c r="A80" s="110" t="s">
        <v>67</v>
      </c>
      <c r="B80" s="111"/>
      <c r="C80" s="46"/>
    </row>
    <row r="81" spans="1:6" ht="14.25" customHeight="1">
      <c r="A81" s="4" t="s">
        <v>68</v>
      </c>
      <c r="C81" s="18">
        <f>SUM(C79:C80)</f>
        <v>0</v>
      </c>
    </row>
    <row r="82" spans="1:6">
      <c r="A82" s="110" t="s">
        <v>69</v>
      </c>
      <c r="B82" s="111"/>
      <c r="C82" s="46"/>
      <c r="D82" s="114"/>
      <c r="E82" s="112">
        <f>SUM(C81:C82)</f>
        <v>0</v>
      </c>
    </row>
    <row r="83" spans="1:6" ht="17.25" customHeight="1">
      <c r="A83" s="4" t="s">
        <v>70</v>
      </c>
      <c r="B83" s="18">
        <f>C83/12</f>
        <v>1798.2</v>
      </c>
      <c r="C83" s="18">
        <f>C68</f>
        <v>21578.400000000001</v>
      </c>
    </row>
    <row r="84" spans="1:6">
      <c r="A84" s="110" t="s">
        <v>71</v>
      </c>
      <c r="B84" s="46"/>
      <c r="C84" s="112">
        <f>B84*12</f>
        <v>0</v>
      </c>
      <c r="D84" s="114"/>
      <c r="E84" s="112">
        <f>SUM(C83:C84)</f>
        <v>21578.400000000001</v>
      </c>
    </row>
    <row r="85" spans="1:6" ht="13.5" customHeight="1">
      <c r="A85" s="4" t="s">
        <v>72</v>
      </c>
      <c r="B85" s="18">
        <f>C85/12</f>
        <v>0</v>
      </c>
      <c r="C85" s="113"/>
      <c r="E85" s="18">
        <f>C85</f>
        <v>0</v>
      </c>
    </row>
    <row r="86" spans="1:6" ht="15" customHeight="1" thickBot="1">
      <c r="A86" s="106" t="str">
        <f>IF(C86&lt;0,"   U n t e r d e c k u n g   gesamt","   Ü b e r d e c k u n g   gesamt")</f>
        <v xml:space="preserve">   Ü b e r d e c k u n g   gesamt</v>
      </c>
      <c r="B86" s="9"/>
      <c r="C86" s="28">
        <f>SUM(C81:C85)</f>
        <v>21578.400000000001</v>
      </c>
      <c r="D86" s="109"/>
      <c r="E86" s="28">
        <f>SUM(E82:E85)</f>
        <v>21578.400000000001</v>
      </c>
      <c r="F86" s="37"/>
    </row>
    <row r="87" spans="1:6" s="20" customFormat="1" ht="25.5" customHeight="1" thickTop="1">
      <c r="A87" s="26"/>
      <c r="B87" s="26"/>
      <c r="C87" s="27"/>
      <c r="D87" s="27"/>
      <c r="E87" s="27"/>
      <c r="F87" s="39"/>
    </row>
    <row r="88" spans="1:6">
      <c r="C88" s="5"/>
    </row>
    <row r="89" spans="1:6">
      <c r="C89" s="5"/>
    </row>
    <row r="90" spans="1:6">
      <c r="C90" s="5"/>
    </row>
    <row r="91" spans="1:6">
      <c r="C91" s="5"/>
    </row>
    <row r="92" spans="1:6">
      <c r="C92" s="5"/>
    </row>
    <row r="93" spans="1:6">
      <c r="C93" s="5"/>
    </row>
    <row r="94" spans="1:6">
      <c r="C94" s="5"/>
    </row>
    <row r="95" spans="1:6">
      <c r="C95" s="5"/>
    </row>
    <row r="96" spans="1:6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</sheetData>
  <sheetProtection sheet="1" objects="1" scenarios="1" autoFilter="0"/>
  <mergeCells count="4">
    <mergeCell ref="D42:F42"/>
    <mergeCell ref="A1:D1"/>
    <mergeCell ref="E1:F1"/>
    <mergeCell ref="E61:F61"/>
  </mergeCells>
  <phoneticPr fontId="7" type="noConversion"/>
  <conditionalFormatting sqref="F56">
    <cfRule type="expression" dxfId="52" priority="1" stopIfTrue="1">
      <formula>AND(F56=0,F57&gt;0)</formula>
    </cfRule>
  </conditionalFormatting>
  <conditionalFormatting sqref="F57">
    <cfRule type="expression" dxfId="51" priority="2" stopIfTrue="1">
      <formula>AND(F56=0,F57&gt;0)</formula>
    </cfRule>
  </conditionalFormatting>
  <conditionalFormatting sqref="B56">
    <cfRule type="expression" dxfId="50" priority="3" stopIfTrue="1">
      <formula>AND(F56=0,F57&gt;0)</formula>
    </cfRule>
  </conditionalFormatting>
  <conditionalFormatting sqref="B57">
    <cfRule type="expression" dxfId="49" priority="4" stopIfTrue="1">
      <formula>AND(F56=0,F57&gt;0)</formula>
    </cfRule>
  </conditionalFormatting>
  <conditionalFormatting sqref="G49">
    <cfRule type="expression" dxfId="48" priority="5" stopIfTrue="1">
      <formula>AND(B57&gt;2)</formula>
    </cfRule>
  </conditionalFormatting>
  <conditionalFormatting sqref="G52:G59">
    <cfRule type="expression" dxfId="47" priority="6" stopIfTrue="1">
      <formula>AND(B$57&gt;2)</formula>
    </cfRule>
  </conditionalFormatting>
  <conditionalFormatting sqref="G60">
    <cfRule type="expression" dxfId="46" priority="7" stopIfTrue="1">
      <formula>AND(B57&gt;2)</formula>
    </cfRule>
  </conditionalFormatting>
  <conditionalFormatting sqref="G48">
    <cfRule type="expression" dxfId="45" priority="8" stopIfTrue="1">
      <formula>AND(B57&gt;2)</formula>
    </cfRule>
  </conditionalFormatting>
  <conditionalFormatting sqref="G51">
    <cfRule type="expression" dxfId="44" priority="9" stopIfTrue="1">
      <formula>AND(B57&gt;2)</formula>
    </cfRule>
  </conditionalFormatting>
  <conditionalFormatting sqref="G50">
    <cfRule type="expression" dxfId="43" priority="10" stopIfTrue="1">
      <formula>AND(B57&gt;2)</formula>
    </cfRule>
  </conditionalFormatting>
  <conditionalFormatting sqref="E66">
    <cfRule type="expression" dxfId="42" priority="11" stopIfTrue="1">
      <formula>SUM(C40,C66)&lt;0</formula>
    </cfRule>
  </conditionalFormatting>
  <conditionalFormatting sqref="D38">
    <cfRule type="cellIs" dxfId="41" priority="12" stopIfTrue="1" operator="notBetween">
      <formula>0</formula>
      <formula>-0.13</formula>
    </cfRule>
  </conditionalFormatting>
  <dataValidations count="20"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  <dataValidation type="list" operator="equal" allowBlank="1" showInputMessage="1" showErrorMessage="1" errorTitle="RVO zu Absetzbetrag:" error="Wert Null oder 364 gefordert!" sqref="F56">
      <formula1>"0,364"</formula1>
    </dataValidation>
    <dataValidation type="list" allowBlank="1" showInputMessage="1" showErrorMessage="1" errorTitle="RVO zu Kinderzuschlag:" error="Eingabe lt. Liste. Die Werte steigen nach Anzahl der Kinder!" sqref="F57">
      <formula1>"0,130,305,525,745,965,1185,1405"</formula1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C79:C80 B84 B14:B33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Einnahme!" error="Werte zwischen Null und 999.999,- erlaubt!" sqref="C82 B3:B1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51">
      <formula1>-2200</formula1>
      <formula2>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59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</dataValidations>
  <hyperlinks>
    <hyperlink ref="F36" r:id="rId1" display="www.rvo.at"/>
    <hyperlink ref="F63" r:id="rId2" display="www.rvo.at"/>
    <hyperlink ref="F71" r:id="rId3" display="www.rvo.at"/>
    <hyperlink ref="F78" r:id="rId4" display="www.rvo.at"/>
    <hyperlink ref="G43" r:id="rId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&amp;L&amp;8&amp;Z&amp;F&amp;R&amp;8(c) www.rvo.at</oddFooter>
  </headerFooter>
  <rowBreaks count="1" manualBreakCount="1">
    <brk id="62" max="5" man="1"/>
  </rowBreaks>
  <legacyDrawing r:id="rId7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8"/>
  <sheetViews>
    <sheetView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88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20.25" customHeight="1" thickTop="1">
      <c r="A35" s="10"/>
      <c r="B35" s="11"/>
      <c r="C35" s="11"/>
      <c r="D35" s="12"/>
      <c r="E35" s="13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25" t="str">
        <f>CONCATENATE("  max .. ",ROUND(MIN(0,(C37-30000)*-0.13),2))</f>
        <v xml:space="preserve">  max .. 0</v>
      </c>
      <c r="F39" s="30"/>
    </row>
    <row r="40" spans="1:9">
      <c r="A40" s="16" t="s">
        <v>89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-8.0299999999999994</v>
      </c>
      <c r="C42" s="52">
        <f>ROUND(B42*12,2)</f>
        <v>-96.36</v>
      </c>
      <c r="D42" s="322" t="s">
        <v>43</v>
      </c>
      <c r="E42" s="322"/>
      <c r="F42" s="322"/>
      <c r="G42" s="116" t="s">
        <v>74</v>
      </c>
    </row>
    <row r="43" spans="1:9" ht="13.2" outlineLevel="1">
      <c r="A43" s="118" t="s">
        <v>78</v>
      </c>
      <c r="B43" s="52">
        <f>IF(B$41&lt;E43,E43*D43,IF(B$41&gt;F43,F43*D43,B$41*D43))</f>
        <v>-438.49</v>
      </c>
      <c r="C43" s="52">
        <f>B43*12</f>
        <v>-5261.88</v>
      </c>
      <c r="D43" s="69">
        <v>-0.16250000000000001</v>
      </c>
      <c r="E43" s="44">
        <v>818.3</v>
      </c>
      <c r="F43" s="119">
        <v>4795</v>
      </c>
      <c r="G43" s="127" t="s">
        <v>73</v>
      </c>
    </row>
    <row r="44" spans="1:9" ht="13.2" outlineLevel="1">
      <c r="A44" s="117" t="s">
        <v>79</v>
      </c>
      <c r="B44" s="52">
        <f>IF(B$41&lt;E44,E44*D44,IF(B$41&gt;F44,F44*D44,B$41*D44))</f>
        <v>-206.42760000000001</v>
      </c>
      <c r="C44" s="52">
        <f>B44*12</f>
        <v>-2477.1312000000003</v>
      </c>
      <c r="D44" s="69">
        <v>-7.6499999999999999E-2</v>
      </c>
      <c r="E44" s="44">
        <v>653.29999999999995</v>
      </c>
      <c r="F44" s="119">
        <v>4795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-36.681750000000001</v>
      </c>
      <c r="C45" s="52">
        <f>B45*12</f>
        <v>-440.18100000000004</v>
      </c>
      <c r="D45" s="69">
        <v>-1.5299999999999999E-2</v>
      </c>
      <c r="E45" s="44">
        <v>2397.5</v>
      </c>
      <c r="F45" s="119">
        <v>2397.5</v>
      </c>
      <c r="G45" s="115"/>
    </row>
    <row r="46" spans="1:9" outlineLevel="1">
      <c r="A46" s="118" t="s">
        <v>98</v>
      </c>
      <c r="B46" s="52">
        <f>IF(B$41&lt;E46,E46*D46,IF(B$41&gt;F46,F46*D46,B$41*D46))</f>
        <v>0</v>
      </c>
      <c r="C46" s="52">
        <f>B46*12</f>
        <v>0</v>
      </c>
      <c r="D46" s="69"/>
      <c r="E46" s="44">
        <v>2397.5</v>
      </c>
      <c r="F46" s="119">
        <v>2397.5</v>
      </c>
    </row>
    <row r="47" spans="1:9">
      <c r="A47" s="32" t="s">
        <v>7</v>
      </c>
      <c r="B47" s="47">
        <f>ROUND(SUM(B42:B46),2)</f>
        <v>-689.63</v>
      </c>
      <c r="C47" s="47">
        <f>ROUND(SUM(C42:C46),2)</f>
        <v>-8275.5499999999993</v>
      </c>
      <c r="D47" s="48">
        <f>ROUND(C47/C37,3)</f>
        <v>-0.29699999999999999</v>
      </c>
      <c r="E47" s="33"/>
      <c r="F47" s="33"/>
    </row>
    <row r="48" spans="1:9" ht="13.5" customHeight="1">
      <c r="A48" s="70" t="s">
        <v>45</v>
      </c>
      <c r="B48" s="50">
        <f>SUM(B41,B47)</f>
        <v>2008.77</v>
      </c>
      <c r="C48" s="50">
        <f>SUM(C37:C40,C47)</f>
        <v>24105.25</v>
      </c>
      <c r="D48" s="51">
        <f>ROUND(C48/C37,3)</f>
        <v>0.86599999999999999</v>
      </c>
      <c r="E48" s="71" t="s">
        <v>46</v>
      </c>
      <c r="F48" s="71" t="s">
        <v>47</v>
      </c>
      <c r="G48" s="72" t="str">
        <f>IF(B57&gt;2,"MKZ","")</f>
        <v/>
      </c>
      <c r="H48" s="15"/>
      <c r="I48" s="15"/>
    </row>
    <row r="49" spans="1:9" ht="13.5" customHeight="1">
      <c r="A49" s="73" t="s">
        <v>48</v>
      </c>
      <c r="B49" s="73"/>
      <c r="C49" s="74">
        <f>ROUND(MIN(-60,IF(C48&lt;36400,IF(E49&lt;F49,E49/-4,F49/-4),(60000-C48)*IF(E49&lt;F49,E49/-4,F49/-4)/23600)),2)</f>
        <v>-60</v>
      </c>
      <c r="D49" s="3"/>
      <c r="E49" s="75"/>
      <c r="F49" s="76">
        <f>IF(B56=0,2920,IF(B57&lt;3,5840,IF(G49="ohne MKZ",5840,7300)))</f>
        <v>2920</v>
      </c>
      <c r="G49" s="77"/>
      <c r="H49" s="15"/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für",IF(ISBLANK(G51),ROUND((B57-2)*12,0),""),"")</f>
        <v/>
      </c>
      <c r="H50" s="15"/>
      <c r="I50" s="15"/>
    </row>
    <row r="51" spans="1:9">
      <c r="A51" s="19" t="s">
        <v>87</v>
      </c>
      <c r="B51" s="19"/>
      <c r="C51" s="45"/>
      <c r="D51" s="16"/>
      <c r="E51" s="120"/>
      <c r="F51" s="21"/>
      <c r="G51" s="102"/>
      <c r="H51" s="15"/>
      <c r="I51" s="15"/>
    </row>
    <row r="52" spans="1:9" hidden="1">
      <c r="A52" s="79" t="s">
        <v>50</v>
      </c>
      <c r="B52" s="79"/>
      <c r="C52" s="80">
        <f>ROUND(IF(SUM(C48:C51)&lt;0,0,SUM(C48:C51)),2)</f>
        <v>24045.25</v>
      </c>
      <c r="D52" s="81"/>
      <c r="E52" s="82"/>
      <c r="F52" s="83">
        <f>ROUND(IF(C52&gt;36400,0.12,IF(C52&gt;14600,0.1,IF(C52&gt;7300,0.08,0.06)))-SUM(B56/100,B57/100),3)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2404.5300000000002</v>
      </c>
      <c r="G53" s="103"/>
      <c r="H53" s="15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94</v>
      </c>
      <c r="B55" s="86">
        <v>1</v>
      </c>
      <c r="C55" s="80">
        <f>ROUND(IF(SUM(C52:C54)&lt;0,0,SUM(C52:C54)),2)</f>
        <v>24045.25</v>
      </c>
      <c r="E55" s="87">
        <f>F55/C55</f>
        <v>-0.19802331021719469</v>
      </c>
      <c r="F55" s="23">
        <f>ROUND(IF(C55&lt;=11000,0,IF(C55&lt;=25000,(C55-11000)*5110/14000,IF(C55&lt;=60000,(C55-25000)*15125/35000+5110,(C55-60000)*0.5+20235)))*-1,2)</f>
        <v>-4761.5200000000004</v>
      </c>
      <c r="G55" s="103"/>
    </row>
    <row r="56" spans="1:9" s="20" customFormat="1">
      <c r="A56" s="19" t="s">
        <v>8</v>
      </c>
      <c r="B56" s="88">
        <f>IF(F56&gt;0,1,0)</f>
        <v>0</v>
      </c>
      <c r="C56" s="89"/>
      <c r="E56" s="87">
        <f>F56/C55</f>
        <v>0</v>
      </c>
      <c r="F56" s="90"/>
      <c r="G56" s="103"/>
    </row>
    <row r="57" spans="1:9" s="20" customFormat="1">
      <c r="A57" s="19" t="s">
        <v>52</v>
      </c>
      <c r="B57" s="88">
        <f>IF(F57=130,1,IF(F57=305,2,IF(F57=525,3,IF(F57=745,4,IF(F57=965,5,IF(F57=1185,6,IF(F57=1405,7,0)))))))</f>
        <v>0</v>
      </c>
      <c r="C57" s="21"/>
      <c r="D57" s="19"/>
      <c r="E57" s="87">
        <f>F57/C55</f>
        <v>0</v>
      </c>
      <c r="F57" s="90"/>
      <c r="G57" s="103"/>
    </row>
    <row r="58" spans="1:9" s="20" customFormat="1" hidden="1">
      <c r="A58" s="79" t="s">
        <v>53</v>
      </c>
      <c r="B58" s="79"/>
      <c r="C58" s="80"/>
      <c r="D58" s="79"/>
      <c r="E58" s="91"/>
      <c r="F58" s="80">
        <f>ROUND(IF(F57=0,IF(SUM(F55:F56)&gt;0,0,SUM(F55:F57)),SUM(F55:F57)),2)</f>
        <v>-4761.5200000000004</v>
      </c>
      <c r="G58" s="103"/>
    </row>
    <row r="59" spans="1:9" s="20" customFormat="1">
      <c r="A59" s="25" t="s">
        <v>54</v>
      </c>
      <c r="B59" s="92">
        <f>IF(F59&gt;0,1,0)</f>
        <v>0</v>
      </c>
      <c r="C59" s="74"/>
      <c r="E59" s="87">
        <f>F59/C55</f>
        <v>0</v>
      </c>
      <c r="F59" s="90"/>
      <c r="G59" s="103"/>
    </row>
    <row r="60" spans="1:9" s="20" customFormat="1">
      <c r="A60" s="93" t="str">
        <f>IF(F60&lt;=0,"Einkommensteuer (ESt) des Jahres","ESt-Gutschrift aus Negativsteuer")</f>
        <v>Einkommensteuer (ESt) des Jahres</v>
      </c>
      <c r="B60" s="93"/>
      <c r="C60" s="80">
        <f>F60</f>
        <v>-4761.5200000000004</v>
      </c>
      <c r="D60" s="51">
        <f>ROUND(C60/C37,3)</f>
        <v>-0.17100000000000001</v>
      </c>
      <c r="E60" s="91">
        <f>SUM(E55:E59)</f>
        <v>-0.19802331021719469</v>
      </c>
      <c r="F60" s="80">
        <f>ROUND(IF(F58&gt;0,F58,IF(SUM(F58:F59)&gt;0,0,SUM(F58:F59))),2)</f>
        <v>-4761.5200000000004</v>
      </c>
      <c r="G60" s="74" t="str">
        <f>IF(G49="inkl. MKZ für",IF(B57&gt;2,IF(ISBLANK(G51),ROUND(G50*36.4,2),ROUND(G51*36.4,2)),""),"")</f>
        <v/>
      </c>
    </row>
    <row r="61" spans="1:9" s="20" customFormat="1" ht="13.5" customHeight="1" thickBot="1">
      <c r="A61" s="94" t="s">
        <v>93</v>
      </c>
      <c r="B61" s="95"/>
      <c r="C61" s="96">
        <f>SUM(C55:C60)</f>
        <v>19283.73</v>
      </c>
      <c r="D61" s="122">
        <f>ROUND(C61/C37,3)</f>
        <v>0.69299999999999995</v>
      </c>
      <c r="E61" s="323" t="str">
        <f>IF(C55&lt;=11000,"",CONCATENATE(" (Grenzsteuersatz .. ",IF(C55&lt;=25000,"36,5 %",IF(C55&lt;=60000,"43,2 %","50 %")),")"))</f>
        <v xml:space="preserve"> (Grenzsteuersatz .. 36,5 %)</v>
      </c>
      <c r="F61" s="323"/>
    </row>
    <row r="62" spans="1:9" s="20" customFormat="1" ht="29.25" customHeight="1" thickTop="1">
      <c r="A62" s="26"/>
      <c r="B62" s="26"/>
      <c r="C62" s="27"/>
      <c r="D62" s="27"/>
      <c r="E62" s="27"/>
      <c r="F62" s="39"/>
    </row>
    <row r="63" spans="1:9" ht="12">
      <c r="A63" s="1" t="s">
        <v>63</v>
      </c>
      <c r="B63" s="2" t="s">
        <v>0</v>
      </c>
      <c r="C63" s="2" t="s">
        <v>1</v>
      </c>
      <c r="D63" s="34" t="s">
        <v>4</v>
      </c>
      <c r="E63" s="35"/>
      <c r="F63" s="104" t="s">
        <v>58</v>
      </c>
    </row>
    <row r="64" spans="1:9">
      <c r="A64" s="4" t="s">
        <v>5</v>
      </c>
      <c r="B64" s="53">
        <f>ROUND(B11,2)</f>
        <v>3000</v>
      </c>
      <c r="C64" s="18">
        <f>B64*12</f>
        <v>36000</v>
      </c>
      <c r="D64" s="57">
        <v>1</v>
      </c>
    </row>
    <row r="65" spans="1:6">
      <c r="A65" s="4" t="s">
        <v>92</v>
      </c>
      <c r="B65" s="54">
        <f>ROUND(SUM(B14:B16,B18:B23,B25:B30,B32:B33),2)</f>
        <v>0</v>
      </c>
      <c r="C65" s="18">
        <f>B65*12</f>
        <v>0</v>
      </c>
      <c r="D65" s="57">
        <f>ROUND(B65/B64,3)</f>
        <v>0</v>
      </c>
    </row>
    <row r="66" spans="1:6">
      <c r="A66" s="16" t="s">
        <v>7</v>
      </c>
      <c r="B66" s="53">
        <f>ROUND(B47,2)</f>
        <v>-689.63</v>
      </c>
      <c r="C66" s="18">
        <f>B66*12</f>
        <v>-8275.56</v>
      </c>
      <c r="D66" s="57">
        <f>ROUND(B66/B64,3)</f>
        <v>-0.23</v>
      </c>
      <c r="E66" s="123" t="str">
        <f>CONCATENATE(" (davon  ",ROUND(SUM(C40,C66),2)," Nachforderung)")</f>
        <v xml:space="preserve"> (davon  -115,56 Nachforderung)</v>
      </c>
    </row>
    <row r="67" spans="1:6">
      <c r="A67" s="4" t="s">
        <v>90</v>
      </c>
      <c r="B67" s="53">
        <f>ROUND(C60/12,2)</f>
        <v>-396.79</v>
      </c>
      <c r="C67" s="18">
        <f>B67*12</f>
        <v>-4761.4800000000005</v>
      </c>
      <c r="D67" s="57">
        <f>ROUND(B67/B64,3)</f>
        <v>-0.13200000000000001</v>
      </c>
    </row>
    <row r="68" spans="1:6" ht="12" thickBot="1">
      <c r="A68" s="8" t="s">
        <v>55</v>
      </c>
      <c r="B68" s="55">
        <f>ROUND(SUM(B64:B67),2)</f>
        <v>1913.58</v>
      </c>
      <c r="C68" s="28">
        <f>B68*12</f>
        <v>22962.959999999999</v>
      </c>
      <c r="D68" s="58">
        <f>ROUND(B68/B64,4)</f>
        <v>0.63790000000000002</v>
      </c>
      <c r="E68" s="38"/>
      <c r="F68" s="37"/>
    </row>
    <row r="69" spans="1:6" ht="12.6" thickTop="1" thickBot="1">
      <c r="A69" s="29" t="s">
        <v>56</v>
      </c>
      <c r="B69" s="56">
        <f>ROUND(B68*12/14,2)</f>
        <v>1640.21</v>
      </c>
      <c r="C69" s="97"/>
      <c r="D69" s="98"/>
      <c r="E69" s="99"/>
      <c r="F69" s="99"/>
    </row>
    <row r="70" spans="1:6" s="20" customFormat="1" ht="25.5" customHeight="1" thickTop="1">
      <c r="A70" s="26"/>
      <c r="B70" s="26"/>
      <c r="C70" s="27"/>
      <c r="D70" s="27"/>
      <c r="E70" s="27"/>
      <c r="F70" s="39"/>
    </row>
    <row r="71" spans="1:6" ht="13.2">
      <c r="A71" s="108" t="s">
        <v>64</v>
      </c>
      <c r="B71" s="2" t="s">
        <v>0</v>
      </c>
      <c r="C71" s="2" t="s">
        <v>1</v>
      </c>
      <c r="D71" s="34"/>
      <c r="E71" s="35"/>
      <c r="F71" s="104" t="s">
        <v>58</v>
      </c>
    </row>
    <row r="72" spans="1:6" ht="13.5" customHeight="1">
      <c r="A72" s="20" t="s">
        <v>59</v>
      </c>
      <c r="B72" s="105">
        <f>C72/12</f>
        <v>2310.3708333333334</v>
      </c>
      <c r="C72" s="105">
        <f>C11+C34+C47-C17-C31-C33</f>
        <v>27724.45</v>
      </c>
    </row>
    <row r="73" spans="1:6">
      <c r="A73" s="20" t="s">
        <v>60</v>
      </c>
      <c r="B73" s="105">
        <f>C73/12</f>
        <v>0</v>
      </c>
      <c r="C73" s="105">
        <f>C33</f>
        <v>0</v>
      </c>
    </row>
    <row r="74" spans="1:6">
      <c r="A74" s="93" t="s">
        <v>61</v>
      </c>
      <c r="B74" s="80">
        <f>SUM(B72:B73)</f>
        <v>2310.3708333333334</v>
      </c>
      <c r="C74" s="80">
        <f>SUM(C72:C73)</f>
        <v>27724.45</v>
      </c>
    </row>
    <row r="75" spans="1:6">
      <c r="A75" s="20" t="s">
        <v>62</v>
      </c>
      <c r="B75" s="105">
        <f>C75/12</f>
        <v>0</v>
      </c>
      <c r="C75" s="105">
        <f>C17</f>
        <v>0</v>
      </c>
    </row>
    <row r="76" spans="1:6" ht="12" thickBot="1">
      <c r="A76" s="106" t="str">
        <f>IF(C76&lt;0,"   V e r l u s t","   G e w i n n   ( Überschuß)")</f>
        <v xml:space="preserve">   G e w i n n   ( Überschuß)</v>
      </c>
      <c r="B76" s="107">
        <f>ROUND(SUM(B74:B75),2)</f>
        <v>2310.37</v>
      </c>
      <c r="C76" s="107">
        <f>ROUND(SUM(C74:C75),2)</f>
        <v>27724.45</v>
      </c>
      <c r="D76" s="109"/>
      <c r="E76" s="37"/>
      <c r="F76" s="37"/>
    </row>
    <row r="77" spans="1:6" s="20" customFormat="1" ht="25.5" customHeight="1" thickTop="1">
      <c r="A77" s="26"/>
      <c r="B77" s="26"/>
      <c r="C77" s="27"/>
      <c r="D77" s="27"/>
      <c r="E77" s="27"/>
      <c r="F77" s="39"/>
    </row>
    <row r="78" spans="1:6" ht="13.2">
      <c r="A78" s="108" t="s">
        <v>65</v>
      </c>
      <c r="B78" s="2" t="s">
        <v>0</v>
      </c>
      <c r="C78" s="2" t="s">
        <v>1</v>
      </c>
      <c r="D78" s="34"/>
      <c r="E78" s="35"/>
      <c r="F78" s="104" t="s">
        <v>58</v>
      </c>
    </row>
    <row r="79" spans="1:6" ht="12.75" customHeight="1">
      <c r="A79" s="4" t="s">
        <v>66</v>
      </c>
      <c r="C79" s="113"/>
    </row>
    <row r="80" spans="1:6">
      <c r="A80" s="110" t="s">
        <v>67</v>
      </c>
      <c r="B80" s="111"/>
      <c r="C80" s="46"/>
    </row>
    <row r="81" spans="1:6" ht="14.25" customHeight="1">
      <c r="A81" s="4" t="s">
        <v>68</v>
      </c>
      <c r="C81" s="18">
        <f>SUM(C79:C80)</f>
        <v>0</v>
      </c>
    </row>
    <row r="82" spans="1:6">
      <c r="A82" s="110" t="s">
        <v>69</v>
      </c>
      <c r="B82" s="111"/>
      <c r="C82" s="46"/>
      <c r="D82" s="114"/>
      <c r="E82" s="112">
        <f>SUM(C81:C82)</f>
        <v>0</v>
      </c>
    </row>
    <row r="83" spans="1:6" ht="17.25" customHeight="1">
      <c r="A83" s="4" t="s">
        <v>70</v>
      </c>
      <c r="B83" s="18">
        <f>C83/12</f>
        <v>1913.58</v>
      </c>
      <c r="C83" s="18">
        <f>C68</f>
        <v>22962.959999999999</v>
      </c>
    </row>
    <row r="84" spans="1:6">
      <c r="A84" s="110" t="s">
        <v>71</v>
      </c>
      <c r="B84" s="46"/>
      <c r="C84" s="112">
        <f>B84*12</f>
        <v>0</v>
      </c>
      <c r="D84" s="114"/>
      <c r="E84" s="112">
        <f>SUM(C83:C84)</f>
        <v>22962.959999999999</v>
      </c>
    </row>
    <row r="85" spans="1:6" ht="13.5" customHeight="1">
      <c r="A85" s="4" t="s">
        <v>72</v>
      </c>
      <c r="B85" s="18">
        <f>C85/12</f>
        <v>0</v>
      </c>
      <c r="C85" s="113"/>
      <c r="E85" s="18">
        <f>C85</f>
        <v>0</v>
      </c>
    </row>
    <row r="86" spans="1:6" ht="15" customHeight="1" thickBot="1">
      <c r="A86" s="106" t="str">
        <f>IF(C86&lt;0,"   U n t e r d e c k u n g   gesamt","   Ü b e r d e c k u n g   gesamt")</f>
        <v xml:space="preserve">   Ü b e r d e c k u n g   gesamt</v>
      </c>
      <c r="B86" s="9"/>
      <c r="C86" s="28">
        <f>SUM(C81:C85)</f>
        <v>22962.959999999999</v>
      </c>
      <c r="D86" s="109"/>
      <c r="E86" s="28">
        <f>SUM(E82:E85)</f>
        <v>22962.959999999999</v>
      </c>
      <c r="F86" s="37"/>
    </row>
    <row r="87" spans="1:6" s="20" customFormat="1" ht="25.5" customHeight="1" thickTop="1">
      <c r="A87" s="26"/>
      <c r="B87" s="26"/>
      <c r="C87" s="27"/>
      <c r="D87" s="27"/>
      <c r="E87" s="27"/>
      <c r="F87" s="39"/>
    </row>
    <row r="88" spans="1:6">
      <c r="C88" s="5"/>
    </row>
    <row r="89" spans="1:6">
      <c r="C89" s="5"/>
    </row>
    <row r="90" spans="1:6">
      <c r="C90" s="5"/>
    </row>
    <row r="91" spans="1:6">
      <c r="C91" s="5"/>
    </row>
    <row r="92" spans="1:6">
      <c r="C92" s="5"/>
    </row>
    <row r="93" spans="1:6">
      <c r="C93" s="5"/>
    </row>
    <row r="94" spans="1:6">
      <c r="C94" s="5"/>
    </row>
    <row r="95" spans="1:6">
      <c r="C95" s="5"/>
    </row>
    <row r="96" spans="1:6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  <row r="107" spans="3:3">
      <c r="C107" s="5"/>
    </row>
    <row r="108" spans="3:3">
      <c r="C108" s="5"/>
    </row>
  </sheetData>
  <sheetProtection sheet="1" objects="1" scenarios="1"/>
  <mergeCells count="4">
    <mergeCell ref="D42:F42"/>
    <mergeCell ref="A1:D1"/>
    <mergeCell ref="E1:F1"/>
    <mergeCell ref="E61:F61"/>
  </mergeCells>
  <phoneticPr fontId="7" type="noConversion"/>
  <conditionalFormatting sqref="F56">
    <cfRule type="expression" dxfId="40" priority="1" stopIfTrue="1">
      <formula>AND(F56=0,F57&gt;0)</formula>
    </cfRule>
  </conditionalFormatting>
  <conditionalFormatting sqref="F57">
    <cfRule type="expression" dxfId="39" priority="2" stopIfTrue="1">
      <formula>AND(F56=0,F57&gt;0)</formula>
    </cfRule>
  </conditionalFormatting>
  <conditionalFormatting sqref="B56">
    <cfRule type="expression" dxfId="38" priority="3" stopIfTrue="1">
      <formula>AND(F56=0,F57&gt;0)</formula>
    </cfRule>
  </conditionalFormatting>
  <conditionalFormatting sqref="B57">
    <cfRule type="expression" dxfId="37" priority="4" stopIfTrue="1">
      <formula>AND(F56=0,F57&gt;0)</formula>
    </cfRule>
  </conditionalFormatting>
  <conditionalFormatting sqref="G49">
    <cfRule type="expression" dxfId="36" priority="5" stopIfTrue="1">
      <formula>AND(B57&gt;2)</formula>
    </cfRule>
  </conditionalFormatting>
  <conditionalFormatting sqref="G52:G59">
    <cfRule type="expression" dxfId="35" priority="6" stopIfTrue="1">
      <formula>AND(B$57&gt;2)</formula>
    </cfRule>
  </conditionalFormatting>
  <conditionalFormatting sqref="G60">
    <cfRule type="expression" dxfId="34" priority="7" stopIfTrue="1">
      <formula>AND(B57&gt;2)</formula>
    </cfRule>
  </conditionalFormatting>
  <conditionalFormatting sqref="G48">
    <cfRule type="expression" dxfId="33" priority="8" stopIfTrue="1">
      <formula>AND(B57&gt;2)</formula>
    </cfRule>
  </conditionalFormatting>
  <conditionalFormatting sqref="G51">
    <cfRule type="expression" dxfId="32" priority="9" stopIfTrue="1">
      <formula>AND(B57&gt;2)</formula>
    </cfRule>
  </conditionalFormatting>
  <conditionalFormatting sqref="G50">
    <cfRule type="expression" dxfId="31" priority="10" stopIfTrue="1">
      <formula>AND(B57&gt;2)</formula>
    </cfRule>
  </conditionalFormatting>
  <conditionalFormatting sqref="E66">
    <cfRule type="expression" dxfId="30" priority="11" stopIfTrue="1">
      <formula>SUM(C40,C66)&lt;0</formula>
    </cfRule>
  </conditionalFormatting>
  <conditionalFormatting sqref="D38">
    <cfRule type="cellIs" dxfId="29" priority="12" stopIfTrue="1" operator="notBetween">
      <formula>0</formula>
      <formula>-0.13</formula>
    </cfRule>
  </conditionalFormatting>
  <dataValidations count="20"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  <dataValidation type="list" operator="equal" allowBlank="1" showInputMessage="1" showErrorMessage="1" errorTitle="RVO zu Absetzbetrag:" error="Wert Null oder 364 gefordert!" sqref="F56">
      <formula1>"0,364"</formula1>
    </dataValidation>
    <dataValidation type="list" allowBlank="1" showInputMessage="1" showErrorMessage="1" errorTitle="RVO zu Kinderzuschlag:" error="Eingabe lt. Liste. Die Werte steigen nach Anzahl der Kinder!" sqref="F57">
      <formula1>"0,130,305,525,745,965,1185,1405"</formula1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C79:C80 B84 B14:B33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Einnahme!" error="Werte zwischen Null und 999.999,- erlaubt!" sqref="C82 B3:B1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51">
      <formula1>-2200</formula1>
      <formula2>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59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allowBlank="1" showInputMessage="1" showErrorMessage="1" errorTitle="RVO Fehler Grundfreibetrag!" error="Nur negative Werte bis Min -3.900,- erlaubt!" sqref="C38">
      <formula1>-3900</formula1>
      <formula2>0</formula2>
    </dataValidation>
  </dataValidations>
  <hyperlinks>
    <hyperlink ref="F36" r:id="rId1" display="www.rvo.at"/>
    <hyperlink ref="F63" r:id="rId2" display="www.rvo.at"/>
    <hyperlink ref="F71" r:id="rId3" display="www.rvo.at"/>
    <hyperlink ref="F78" r:id="rId4" display="www.rvo.at"/>
    <hyperlink ref="G43" r:id="rId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&amp;L&amp;8&amp;Z&amp;F&amp;R&amp;8(c) www.rvo.at</oddFooter>
  </headerFooter>
  <rowBreaks count="1" manualBreakCount="1">
    <brk id="62" max="5" man="1"/>
  </rowBreaks>
  <legacyDrawing r:id="rId7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6"/>
  <sheetViews>
    <sheetView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29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2" si="2">ROUND(B14*12,2)</f>
        <v>0</v>
      </c>
      <c r="D14" s="68" t="str">
        <f t="shared" ref="D14:D32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20</v>
      </c>
      <c r="B31" s="42"/>
      <c r="C31" s="15">
        <f t="shared" si="2"/>
        <v>0</v>
      </c>
      <c r="D31" s="68" t="str">
        <f t="shared" si="3"/>
        <v/>
      </c>
      <c r="E31" s="60"/>
      <c r="F31" s="61"/>
    </row>
    <row r="32" spans="1:7">
      <c r="A32" s="63" t="s">
        <v>21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 ht="12" thickBot="1">
      <c r="A33" s="65" t="s">
        <v>39</v>
      </c>
      <c r="B33" s="40">
        <f>ROUND(SUM(B14:B32),2)</f>
        <v>0</v>
      </c>
      <c r="C33" s="40">
        <f>ROUND(SUM(C14:C32),2)</f>
        <v>0</v>
      </c>
      <c r="D33" s="67">
        <f>ROUND(SUM(D14:D32),3)</f>
        <v>0</v>
      </c>
      <c r="E33" s="37"/>
      <c r="F33" s="36"/>
    </row>
    <row r="34" spans="1:9" ht="20.25" customHeight="1" thickTop="1">
      <c r="A34" s="10"/>
      <c r="B34" s="11"/>
      <c r="C34" s="11"/>
      <c r="D34" s="12"/>
      <c r="E34" s="13"/>
      <c r="F34" s="13"/>
    </row>
    <row r="35" spans="1:9">
      <c r="A35" s="1" t="s">
        <v>3</v>
      </c>
      <c r="B35" s="2" t="s">
        <v>0</v>
      </c>
      <c r="C35" s="2" t="s">
        <v>1</v>
      </c>
      <c r="D35" s="34" t="s">
        <v>4</v>
      </c>
      <c r="E35" s="35"/>
      <c r="F35" s="104" t="s">
        <v>58</v>
      </c>
    </row>
    <row r="36" spans="1:9">
      <c r="A36" s="3" t="s">
        <v>5</v>
      </c>
      <c r="B36" s="15">
        <f>ROUND(B11,2)</f>
        <v>3000</v>
      </c>
      <c r="C36" s="15">
        <f>ROUND(B36*12,2)</f>
        <v>36000</v>
      </c>
      <c r="D36" s="49">
        <v>1</v>
      </c>
      <c r="E36" s="6"/>
      <c r="F36" s="6"/>
    </row>
    <row r="37" spans="1:9">
      <c r="A37" s="16" t="s">
        <v>6</v>
      </c>
      <c r="B37" s="17">
        <f>ROUND(B33,2)</f>
        <v>0</v>
      </c>
      <c r="C37" s="18">
        <f>ROUND(B37*12,2)</f>
        <v>0</v>
      </c>
      <c r="D37" s="49">
        <f>ROUND(C37/C36,3)</f>
        <v>0</v>
      </c>
      <c r="E37" s="6"/>
      <c r="F37" s="6"/>
    </row>
    <row r="38" spans="1:9">
      <c r="A38" s="16" t="s">
        <v>80</v>
      </c>
      <c r="B38" s="17">
        <f>ROUND(C38/12,2)</f>
        <v>0</v>
      </c>
      <c r="C38" s="46"/>
      <c r="D38" s="49">
        <f>ROUND(C38/C36,3)</f>
        <v>0</v>
      </c>
      <c r="E38" s="16"/>
      <c r="F38" s="30"/>
    </row>
    <row r="39" spans="1:9" outlineLevel="1">
      <c r="A39" s="32" t="s">
        <v>42</v>
      </c>
      <c r="B39" s="47">
        <f>SUM(B36:B38)</f>
        <v>3000</v>
      </c>
      <c r="C39" s="47">
        <f>SUM(C36:C38)</f>
        <v>36000</v>
      </c>
      <c r="D39" s="48">
        <f>ROUND(SUM(D36:D38),3)</f>
        <v>1</v>
      </c>
      <c r="E39" s="31"/>
      <c r="F39" s="33"/>
    </row>
    <row r="40" spans="1:9" outlineLevel="1">
      <c r="A40" s="117" t="s">
        <v>77</v>
      </c>
      <c r="B40" s="43">
        <v>-7.84</v>
      </c>
      <c r="C40" s="52">
        <f>ROUND(B40*12,2)</f>
        <v>-94.08</v>
      </c>
      <c r="D40" s="322" t="s">
        <v>43</v>
      </c>
      <c r="E40" s="322"/>
      <c r="F40" s="322"/>
      <c r="G40" s="116" t="s">
        <v>74</v>
      </c>
    </row>
    <row r="41" spans="1:9" ht="13.2" outlineLevel="1">
      <c r="A41" s="118" t="s">
        <v>78</v>
      </c>
      <c r="B41" s="52">
        <f>IF(B$39&lt;E41,E41*D41,IF(B$39&gt;F41,F41*D41,B$39*D41))</f>
        <v>-480</v>
      </c>
      <c r="C41" s="52">
        <f>B41*12</f>
        <v>-5760</v>
      </c>
      <c r="D41" s="69">
        <v>-0.16</v>
      </c>
      <c r="E41" s="44">
        <v>887.38</v>
      </c>
      <c r="F41" s="119">
        <v>4690</v>
      </c>
      <c r="G41" s="115" t="s">
        <v>73</v>
      </c>
    </row>
    <row r="42" spans="1:9" ht="13.2" outlineLevel="1">
      <c r="A42" s="117" t="s">
        <v>79</v>
      </c>
      <c r="B42" s="52">
        <f>IF(B$39&lt;E42,E42*D42,IF(B$39&gt;F42,F42*D42,B$39*D42))</f>
        <v>-229.5</v>
      </c>
      <c r="C42" s="52">
        <f>B42*12</f>
        <v>-2754</v>
      </c>
      <c r="D42" s="69">
        <v>-7.6499999999999999E-2</v>
      </c>
      <c r="E42" s="44">
        <v>637.99</v>
      </c>
      <c r="F42" s="119">
        <v>4690</v>
      </c>
      <c r="G42" s="115"/>
    </row>
    <row r="43" spans="1:9" ht="13.2" outlineLevel="1">
      <c r="A43" s="117" t="s">
        <v>99</v>
      </c>
      <c r="B43" s="52">
        <f>IF(B$39&lt;E43,E43*D43,IF(B$39&gt;F43,F43*D43,B$39*D43))</f>
        <v>-35.878499999999995</v>
      </c>
      <c r="C43" s="52">
        <f>B43*12</f>
        <v>-430.54199999999992</v>
      </c>
      <c r="D43" s="69">
        <v>-1.5299999999999999E-2</v>
      </c>
      <c r="E43" s="44">
        <v>2345</v>
      </c>
      <c r="F43" s="119">
        <v>2345</v>
      </c>
      <c r="G43" s="115"/>
    </row>
    <row r="44" spans="1:9" outlineLevel="1">
      <c r="A44" s="118" t="s">
        <v>100</v>
      </c>
      <c r="B44" s="52">
        <f>IF(B$39&lt;E44,E44*D44,IF(B$39&gt;F44,F44*D44,B$39*D44))</f>
        <v>0</v>
      </c>
      <c r="C44" s="52">
        <f>B44*12</f>
        <v>0</v>
      </c>
      <c r="D44" s="69"/>
      <c r="E44" s="44">
        <v>2345</v>
      </c>
      <c r="F44" s="119">
        <v>2345</v>
      </c>
    </row>
    <row r="45" spans="1:9">
      <c r="A45" s="32" t="s">
        <v>7</v>
      </c>
      <c r="B45" s="47">
        <f>ROUND(SUM(B40:B44),2)</f>
        <v>-753.22</v>
      </c>
      <c r="C45" s="47">
        <f>ROUND(SUM(C40:C44),2)</f>
        <v>-9038.6200000000008</v>
      </c>
      <c r="D45" s="48">
        <f>ROUND(C45/C36,3)</f>
        <v>-0.251</v>
      </c>
      <c r="E45" s="33"/>
      <c r="F45" s="33"/>
    </row>
    <row r="46" spans="1:9" ht="13.5" customHeight="1">
      <c r="A46" s="70" t="s">
        <v>45</v>
      </c>
      <c r="B46" s="50">
        <f>SUM(B39,B45)</f>
        <v>2246.7799999999997</v>
      </c>
      <c r="C46" s="50">
        <f>SUM(C36:C38,C45)</f>
        <v>26961.379999999997</v>
      </c>
      <c r="D46" s="51">
        <f>ROUND(D36+D38+D45,3)</f>
        <v>0.749</v>
      </c>
      <c r="E46" s="71" t="s">
        <v>46</v>
      </c>
      <c r="F46" s="71" t="s">
        <v>47</v>
      </c>
      <c r="G46" s="72" t="str">
        <f>IF(B55&gt;2,"MKZ","")</f>
        <v/>
      </c>
      <c r="H46" s="15"/>
      <c r="I46" s="15"/>
    </row>
    <row r="47" spans="1:9" ht="13.5" customHeight="1">
      <c r="A47" s="73" t="s">
        <v>48</v>
      </c>
      <c r="B47" s="73"/>
      <c r="C47" s="74">
        <f>ROUND(MIN(-60,IF(C46&lt;36400,IF(E47&lt;F47,E47/-4,F47/-4),(60000-C46)*IF(E47&lt;F47,E47/-4,F47/-4)/23600)),2)</f>
        <v>-60</v>
      </c>
      <c r="D47" s="3"/>
      <c r="E47" s="75"/>
      <c r="F47" s="76">
        <f>IF(B54=0,2920,IF(B55&lt;3,5840,IF(G47="ohne MKZ",5840,7300)))</f>
        <v>2920</v>
      </c>
      <c r="G47" s="77"/>
      <c r="H47" s="15"/>
      <c r="I47" s="15"/>
    </row>
    <row r="48" spans="1:9">
      <c r="A48" s="19" t="s">
        <v>49</v>
      </c>
      <c r="B48" s="19"/>
      <c r="C48" s="45"/>
      <c r="D48" s="16"/>
      <c r="E48" s="120"/>
      <c r="F48" s="21"/>
      <c r="G48" s="100" t="str">
        <f>IF(G47="inkl. MKZ für",IF(ISBLANK(G49),ROUND((B55-2)*12,0),""),"")</f>
        <v/>
      </c>
      <c r="H48" s="15"/>
      <c r="I48" s="15"/>
    </row>
    <row r="49" spans="1:9">
      <c r="A49" s="19" t="s">
        <v>87</v>
      </c>
      <c r="B49" s="19"/>
      <c r="C49" s="45"/>
      <c r="D49" s="16"/>
      <c r="E49" s="120"/>
      <c r="F49" s="21"/>
      <c r="G49" s="102"/>
      <c r="H49" s="15"/>
      <c r="I49" s="15"/>
    </row>
    <row r="50" spans="1:9" hidden="1">
      <c r="A50" s="79" t="s">
        <v>50</v>
      </c>
      <c r="B50" s="79"/>
      <c r="C50" s="80">
        <f>ROUND(IF(SUM(C46:C49)&lt;0,0,SUM(C46:C49)),2)</f>
        <v>26901.38</v>
      </c>
      <c r="D50" s="81"/>
      <c r="E50" s="82"/>
      <c r="F50" s="83">
        <f>ROUND(IF(C50&gt;36400,0.12,IF(C50&gt;14600,0.1,IF(C50&gt;7300,0.08,0.06)))-SUM(B54/100,B55/100),3)</f>
        <v>0.1</v>
      </c>
      <c r="G50" s="103"/>
      <c r="H50" s="15"/>
      <c r="I50" s="15"/>
    </row>
    <row r="51" spans="1:9" ht="13.5" customHeight="1">
      <c r="A51" s="84" t="str">
        <f>CONCATENATE("außergew. Belastungen ",F50*-100,"% Selbstbehalt")</f>
        <v>außergew. Belastungen -10% Selbstbehalt</v>
      </c>
      <c r="B51" s="84"/>
      <c r="C51" s="74">
        <f>ROUND(IF(E51&lt;F51,0,(E51-F51)*-1),2)</f>
        <v>0</v>
      </c>
      <c r="D51" s="3"/>
      <c r="E51" s="75"/>
      <c r="F51" s="76">
        <f>ROUND(C50*F50,2)</f>
        <v>2690.14</v>
      </c>
      <c r="G51" s="103"/>
      <c r="H51" s="15"/>
      <c r="I51" s="15"/>
    </row>
    <row r="52" spans="1:9" ht="13.5" customHeight="1">
      <c r="A52" s="22" t="s">
        <v>51</v>
      </c>
      <c r="B52" s="22"/>
      <c r="C52" s="46"/>
      <c r="D52" s="22"/>
      <c r="E52" s="121"/>
      <c r="F52" s="24"/>
      <c r="G52" s="103"/>
      <c r="H52" s="15"/>
      <c r="I52" s="15"/>
    </row>
    <row r="53" spans="1:9" s="20" customFormat="1" ht="12">
      <c r="A53" s="70" t="s">
        <v>85</v>
      </c>
      <c r="B53" s="86">
        <v>1</v>
      </c>
      <c r="C53" s="80">
        <f>ROUND(IF(SUM(C50:C52)&lt;0,0,SUM(C50:C52)),2)</f>
        <v>26901.38</v>
      </c>
      <c r="E53" s="87">
        <f>F53/C53</f>
        <v>-0.22049686670349253</v>
      </c>
      <c r="F53" s="23">
        <f>ROUND(IF(C53&lt;=11000,0,IF(C53&lt;=25000,(C53-11000)*5110/14000,IF(C53&lt;=60000,(C53-25000)*15125/35000+5110,(C53-60000)*0.5+20235)))*-1,2)</f>
        <v>-5931.67</v>
      </c>
      <c r="G53" s="103"/>
    </row>
    <row r="54" spans="1:9" s="20" customFormat="1">
      <c r="A54" s="19" t="s">
        <v>8</v>
      </c>
      <c r="B54" s="88">
        <f>IF(F54&gt;0,1,0)</f>
        <v>0</v>
      </c>
      <c r="C54" s="89"/>
      <c r="E54" s="87">
        <f>F54/C53</f>
        <v>0</v>
      </c>
      <c r="F54" s="90"/>
      <c r="G54" s="103"/>
    </row>
    <row r="55" spans="1:9" s="20" customFormat="1">
      <c r="A55" s="19" t="s">
        <v>52</v>
      </c>
      <c r="B55" s="88">
        <f>IF(F55=130,1,IF(F55=305,2,IF(F55=525,3,IF(F55=745,4,IF(F55=965,5,IF(F55=1185,6,IF(F55=1405,7,0)))))))</f>
        <v>0</v>
      </c>
      <c r="C55" s="21"/>
      <c r="D55" s="19"/>
      <c r="E55" s="87">
        <f>F55/C53</f>
        <v>0</v>
      </c>
      <c r="F55" s="90"/>
      <c r="G55" s="103"/>
    </row>
    <row r="56" spans="1:9" s="20" customFormat="1" hidden="1">
      <c r="A56" s="79" t="s">
        <v>53</v>
      </c>
      <c r="B56" s="79"/>
      <c r="C56" s="80"/>
      <c r="D56" s="79"/>
      <c r="E56" s="91"/>
      <c r="F56" s="80">
        <f>ROUND(IF(F55=0,IF(SUM(F53:F54)&gt;0,0,SUM(F53:F55)),SUM(F53:F55)),2)</f>
        <v>-5931.67</v>
      </c>
      <c r="G56" s="103"/>
    </row>
    <row r="57" spans="1:9" s="20" customFormat="1">
      <c r="A57" s="25" t="s">
        <v>54</v>
      </c>
      <c r="B57" s="92">
        <f>IF(F57&gt;0,1,0)</f>
        <v>0</v>
      </c>
      <c r="C57" s="74"/>
      <c r="E57" s="87">
        <f>F57/C53</f>
        <v>0</v>
      </c>
      <c r="F57" s="90"/>
      <c r="G57" s="103"/>
    </row>
    <row r="58" spans="1:9" s="20" customFormat="1">
      <c r="A58" s="93" t="str">
        <f>IF(F58&lt;=0,"Einkommensteuer (ESt) des Jahres","ESt-Gutschrift aus Negativsteuer")</f>
        <v>Einkommensteuer (ESt) des Jahres</v>
      </c>
      <c r="B58" s="93"/>
      <c r="C58" s="80">
        <f>F58</f>
        <v>-5931.67</v>
      </c>
      <c r="D58" s="91">
        <f>ROUND(C58/C36,3)</f>
        <v>-0.16500000000000001</v>
      </c>
      <c r="E58" s="91">
        <f>SUM(E53:E57)</f>
        <v>-0.22049686670349253</v>
      </c>
      <c r="F58" s="80">
        <f>ROUND(IF(F56&gt;0,F56,IF(SUM(F56:F57)&gt;0,0,SUM(F56:F57))),2)</f>
        <v>-5931.67</v>
      </c>
      <c r="G58" s="74" t="str">
        <f>IF(G47="inkl. MKZ für",IF(B55&gt;2,IF(ISBLANK(G49),ROUND(G48*36.4,2),ROUND(G49*36.4,2)),""),"")</f>
        <v/>
      </c>
    </row>
    <row r="59" spans="1:9" s="20" customFormat="1" ht="13.5" customHeight="1" thickBot="1">
      <c r="A59" s="94" t="s">
        <v>84</v>
      </c>
      <c r="B59" s="95"/>
      <c r="C59" s="96">
        <f>SUM(C53:C58)</f>
        <v>20969.71</v>
      </c>
      <c r="D59" s="67">
        <f>ROUND(C59/C36,3)</f>
        <v>0.58199999999999996</v>
      </c>
      <c r="E59" s="323" t="str">
        <f>IF(C53&lt;=11000,"",CONCATENATE(" (Grenzsteuersatz .. ",IF(C53&lt;=25000,"36,5 %",IF(C53&lt;=60000,"43,2 %","50 %")),")"))</f>
        <v xml:space="preserve"> (Grenzsteuersatz .. 43,2 %)</v>
      </c>
      <c r="F59" s="323"/>
    </row>
    <row r="60" spans="1:9" s="20" customFormat="1" ht="29.25" customHeight="1" thickTop="1">
      <c r="A60" s="26"/>
      <c r="B60" s="26"/>
      <c r="C60" s="27"/>
      <c r="D60" s="27"/>
      <c r="E60" s="27"/>
      <c r="F60" s="39"/>
    </row>
    <row r="61" spans="1:9" ht="12">
      <c r="A61" s="1" t="s">
        <v>63</v>
      </c>
      <c r="B61" s="2" t="s">
        <v>0</v>
      </c>
      <c r="C61" s="2" t="s">
        <v>1</v>
      </c>
      <c r="D61" s="34" t="s">
        <v>4</v>
      </c>
      <c r="E61" s="35"/>
      <c r="F61" s="104" t="s">
        <v>58</v>
      </c>
    </row>
    <row r="62" spans="1:9">
      <c r="A62" s="4" t="s">
        <v>5</v>
      </c>
      <c r="B62" s="53">
        <f>ROUND(B36,2)</f>
        <v>3000</v>
      </c>
      <c r="C62" s="18">
        <f>B62*12</f>
        <v>36000</v>
      </c>
      <c r="D62" s="57">
        <v>1</v>
      </c>
    </row>
    <row r="63" spans="1:9">
      <c r="A63" s="4" t="s">
        <v>9</v>
      </c>
      <c r="B63" s="54">
        <f>ROUND(SUM(B14:B16,B18:B23,B25:B32),2)</f>
        <v>0</v>
      </c>
      <c r="C63" s="18">
        <f>B63*12</f>
        <v>0</v>
      </c>
      <c r="D63" s="57">
        <f>ROUND(B63/B62,3)</f>
        <v>0</v>
      </c>
    </row>
    <row r="64" spans="1:9">
      <c r="A64" s="16" t="s">
        <v>7</v>
      </c>
      <c r="B64" s="53">
        <f>ROUND(B45,2)</f>
        <v>-753.22</v>
      </c>
      <c r="C64" s="18">
        <f>B64*12</f>
        <v>-9038.64</v>
      </c>
      <c r="D64" s="57">
        <f>ROUND(B64/B62,3)</f>
        <v>-0.251</v>
      </c>
    </row>
    <row r="65" spans="1:6">
      <c r="A65" s="4" t="s">
        <v>91</v>
      </c>
      <c r="B65" s="53">
        <f>ROUND(C58/12,2)</f>
        <v>-494.31</v>
      </c>
      <c r="C65" s="18">
        <f>B65*12</f>
        <v>-5931.72</v>
      </c>
      <c r="D65" s="57">
        <f>ROUND(B65/B62,3)</f>
        <v>-0.16500000000000001</v>
      </c>
    </row>
    <row r="66" spans="1:6" ht="12" thickBot="1">
      <c r="A66" s="8" t="s">
        <v>55</v>
      </c>
      <c r="B66" s="55">
        <f>ROUND(SUM(B62:B65),2)</f>
        <v>1752.47</v>
      </c>
      <c r="C66" s="28">
        <f>B66*12</f>
        <v>21029.64</v>
      </c>
      <c r="D66" s="58">
        <f>ROUND(B66/B62,3)</f>
        <v>0.58399999999999996</v>
      </c>
      <c r="E66" s="38"/>
      <c r="F66" s="37"/>
    </row>
    <row r="67" spans="1:6" ht="12.6" thickTop="1" thickBot="1">
      <c r="A67" s="29" t="s">
        <v>56</v>
      </c>
      <c r="B67" s="56">
        <f>ROUND(B66*12/14,2)</f>
        <v>1502.12</v>
      </c>
      <c r="C67" s="97"/>
      <c r="D67" s="98"/>
      <c r="E67" s="99"/>
      <c r="F67" s="99"/>
    </row>
    <row r="68" spans="1:6" s="20" customFormat="1" ht="25.5" customHeight="1" thickTop="1">
      <c r="A68" s="26"/>
      <c r="B68" s="26"/>
      <c r="C68" s="27"/>
      <c r="D68" s="27"/>
      <c r="E68" s="27"/>
      <c r="F68" s="39"/>
    </row>
    <row r="69" spans="1:6" ht="13.2">
      <c r="A69" s="108" t="s">
        <v>64</v>
      </c>
      <c r="B69" s="2" t="s">
        <v>0</v>
      </c>
      <c r="C69" s="2" t="s">
        <v>1</v>
      </c>
      <c r="D69" s="34"/>
      <c r="E69" s="35"/>
      <c r="F69" s="104" t="s">
        <v>58</v>
      </c>
    </row>
    <row r="70" spans="1:6" ht="13.5" customHeight="1">
      <c r="A70" s="20" t="s">
        <v>59</v>
      </c>
      <c r="B70" s="105">
        <f>C70/12</f>
        <v>2246.7816666666663</v>
      </c>
      <c r="C70" s="105">
        <f>C11+C33+C45-C17-C32</f>
        <v>26961.379999999997</v>
      </c>
    </row>
    <row r="71" spans="1:6">
      <c r="A71" s="20" t="s">
        <v>60</v>
      </c>
      <c r="B71" s="105">
        <f>C71/12</f>
        <v>0</v>
      </c>
      <c r="C71" s="105">
        <f>C32</f>
        <v>0</v>
      </c>
    </row>
    <row r="72" spans="1:6">
      <c r="A72" s="93" t="s">
        <v>61</v>
      </c>
      <c r="B72" s="80">
        <f>SUM(B70:B71)</f>
        <v>2246.7816666666663</v>
      </c>
      <c r="C72" s="80">
        <f>SUM(C70:C71)</f>
        <v>26961.379999999997</v>
      </c>
    </row>
    <row r="73" spans="1:6">
      <c r="A73" s="20" t="s">
        <v>62</v>
      </c>
      <c r="B73" s="105">
        <f>C73/12</f>
        <v>0</v>
      </c>
      <c r="C73" s="105">
        <f>C17</f>
        <v>0</v>
      </c>
    </row>
    <row r="74" spans="1:6" ht="12" thickBot="1">
      <c r="A74" s="106" t="str">
        <f>IF(C74&lt;0,"   V e r l u s t","   G e w i n n   ( Überschuß)")</f>
        <v xml:space="preserve">   G e w i n n   ( Überschuß)</v>
      </c>
      <c r="B74" s="107">
        <f>ROUND(SUM(B72:B73),2)</f>
        <v>2246.7800000000002</v>
      </c>
      <c r="C74" s="107">
        <f>ROUND(SUM(C72:C73),2)</f>
        <v>26961.38</v>
      </c>
      <c r="D74" s="109"/>
      <c r="E74" s="37"/>
      <c r="F74" s="37"/>
    </row>
    <row r="75" spans="1:6" s="20" customFormat="1" ht="25.5" customHeight="1" thickTop="1">
      <c r="A75" s="26"/>
      <c r="B75" s="26"/>
      <c r="C75" s="27"/>
      <c r="D75" s="27"/>
      <c r="E75" s="27"/>
      <c r="F75" s="39"/>
    </row>
    <row r="76" spans="1:6" ht="13.2">
      <c r="A76" s="108" t="s">
        <v>65</v>
      </c>
      <c r="B76" s="2" t="s">
        <v>0</v>
      </c>
      <c r="C76" s="2" t="s">
        <v>1</v>
      </c>
      <c r="D76" s="34"/>
      <c r="E76" s="35"/>
      <c r="F76" s="104" t="s">
        <v>58</v>
      </c>
    </row>
    <row r="77" spans="1:6" ht="12.75" customHeight="1">
      <c r="A77" s="4" t="s">
        <v>66</v>
      </c>
      <c r="C77" s="113"/>
    </row>
    <row r="78" spans="1:6">
      <c r="A78" s="110" t="s">
        <v>67</v>
      </c>
      <c r="B78" s="111"/>
      <c r="C78" s="46"/>
    </row>
    <row r="79" spans="1:6" ht="14.25" customHeight="1">
      <c r="A79" s="4" t="s">
        <v>68</v>
      </c>
      <c r="C79" s="18">
        <f>SUM(C77:C78)</f>
        <v>0</v>
      </c>
    </row>
    <row r="80" spans="1:6">
      <c r="A80" s="110" t="s">
        <v>69</v>
      </c>
      <c r="B80" s="111"/>
      <c r="C80" s="46"/>
      <c r="D80" s="114"/>
      <c r="E80" s="112">
        <f>SUM(C79:C80)</f>
        <v>0</v>
      </c>
    </row>
    <row r="81" spans="1:6" ht="17.25" customHeight="1">
      <c r="A81" s="4" t="s">
        <v>70</v>
      </c>
      <c r="B81" s="18">
        <f>C81/12</f>
        <v>1752.47</v>
      </c>
      <c r="C81" s="18">
        <f>C66</f>
        <v>21029.64</v>
      </c>
    </row>
    <row r="82" spans="1:6">
      <c r="A82" s="110" t="s">
        <v>71</v>
      </c>
      <c r="B82" s="46"/>
      <c r="C82" s="112">
        <f>B82*12</f>
        <v>0</v>
      </c>
      <c r="D82" s="114"/>
      <c r="E82" s="112">
        <f>SUM(C81:C82)</f>
        <v>21029.64</v>
      </c>
    </row>
    <row r="83" spans="1:6" ht="13.5" customHeight="1">
      <c r="A83" s="4" t="s">
        <v>72</v>
      </c>
      <c r="B83" s="18">
        <f>C83/12</f>
        <v>0</v>
      </c>
      <c r="C83" s="113"/>
      <c r="E83" s="18">
        <f>C83</f>
        <v>0</v>
      </c>
    </row>
    <row r="84" spans="1:6" ht="15" customHeight="1" thickBot="1">
      <c r="A84" s="106" t="str">
        <f>IF(C84&lt;0,"   U n t e r d e c k u n g   gesamt","   Ü b e r d e c k u n g   gesamt")</f>
        <v xml:space="preserve">   Ü b e r d e c k u n g   gesamt</v>
      </c>
      <c r="B84" s="9"/>
      <c r="C84" s="28">
        <f>SUM(C79:C83)</f>
        <v>21029.64</v>
      </c>
      <c r="D84" s="109"/>
      <c r="E84" s="28">
        <f>SUM(E80:E83)</f>
        <v>21029.64</v>
      </c>
      <c r="F84" s="37"/>
    </row>
    <row r="85" spans="1:6" s="20" customFormat="1" ht="25.5" customHeight="1" thickTop="1">
      <c r="A85" s="26"/>
      <c r="B85" s="26"/>
      <c r="C85" s="27"/>
      <c r="D85" s="27"/>
      <c r="E85" s="27"/>
      <c r="F85" s="39"/>
    </row>
    <row r="86" spans="1:6">
      <c r="C86" s="5"/>
    </row>
    <row r="87" spans="1:6">
      <c r="C87" s="5"/>
    </row>
    <row r="88" spans="1:6">
      <c r="C88" s="5"/>
    </row>
    <row r="89" spans="1:6">
      <c r="C89" s="5"/>
    </row>
    <row r="90" spans="1:6">
      <c r="C90" s="5"/>
    </row>
    <row r="91" spans="1:6">
      <c r="C91" s="5"/>
    </row>
    <row r="92" spans="1:6">
      <c r="C92" s="5"/>
    </row>
    <row r="93" spans="1:6">
      <c r="C93" s="5"/>
    </row>
    <row r="94" spans="1:6">
      <c r="C94" s="5"/>
    </row>
    <row r="95" spans="1:6">
      <c r="C95" s="5"/>
    </row>
    <row r="96" spans="1:6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  <row r="106" spans="3:3">
      <c r="C106" s="5"/>
    </row>
  </sheetData>
  <sheetProtection sheet="1" objects="1" scenarios="1"/>
  <mergeCells count="4">
    <mergeCell ref="D40:F40"/>
    <mergeCell ref="A1:D1"/>
    <mergeCell ref="E1:F1"/>
    <mergeCell ref="E59:F59"/>
  </mergeCells>
  <phoneticPr fontId="7" type="noConversion"/>
  <conditionalFormatting sqref="F54">
    <cfRule type="expression" dxfId="28" priority="1" stopIfTrue="1">
      <formula>AND(F54=0,F55&gt;0)</formula>
    </cfRule>
  </conditionalFormatting>
  <conditionalFormatting sqref="F55">
    <cfRule type="expression" dxfId="27" priority="2" stopIfTrue="1">
      <formula>AND(F54=0,F55&gt;0)</formula>
    </cfRule>
  </conditionalFormatting>
  <conditionalFormatting sqref="B54">
    <cfRule type="expression" dxfId="26" priority="3" stopIfTrue="1">
      <formula>AND(F54=0,F55&gt;0)</formula>
    </cfRule>
  </conditionalFormatting>
  <conditionalFormatting sqref="B55">
    <cfRule type="expression" dxfId="25" priority="4" stopIfTrue="1">
      <formula>AND(F54=0,F55&gt;0)</formula>
    </cfRule>
  </conditionalFormatting>
  <conditionalFormatting sqref="G47">
    <cfRule type="expression" dxfId="24" priority="5" stopIfTrue="1">
      <formula>AND(B55&gt;2)</formula>
    </cfRule>
  </conditionalFormatting>
  <conditionalFormatting sqref="G50:G57">
    <cfRule type="expression" dxfId="23" priority="6" stopIfTrue="1">
      <formula>AND(B$55&gt;2)</formula>
    </cfRule>
  </conditionalFormatting>
  <conditionalFormatting sqref="G58">
    <cfRule type="expression" dxfId="22" priority="7" stopIfTrue="1">
      <formula>AND(B55&gt;2)</formula>
    </cfRule>
  </conditionalFormatting>
  <conditionalFormatting sqref="G46">
    <cfRule type="expression" dxfId="21" priority="8" stopIfTrue="1">
      <formula>AND(B55&gt;2)</formula>
    </cfRule>
  </conditionalFormatting>
  <conditionalFormatting sqref="G49">
    <cfRule type="expression" dxfId="20" priority="9" stopIfTrue="1">
      <formula>AND(B55&gt;2)</formula>
    </cfRule>
  </conditionalFormatting>
  <conditionalFormatting sqref="G48">
    <cfRule type="expression" dxfId="19" priority="10" stopIfTrue="1">
      <formula>AND(B55&gt;2)</formula>
    </cfRule>
  </conditionalFormatting>
  <dataValidations count="19">
    <dataValidation type="list" allowBlank="1" showInputMessage="1" showErrorMessage="1" sqref="G49">
      <formula1>"1,2,3,4,5,6,7,8,9,10,11,12,13,14,15,16,17,18,19,20,21,22,23,24,25,26,27,28,29,30,31,32,33,34,35,36,37,38,39,40,41,42,43,44,45,46,47,48,49,50,51,52,53,54,55,56,57,58,59,60,"</formula1>
    </dataValidation>
    <dataValidation type="list" operator="equal" allowBlank="1" showInputMessage="1" showErrorMessage="1" errorTitle="RVO zu Absetzbetrag:" error="Wert Null oder 364 gefordert!" sqref="F54">
      <formula1>"0,364"</formula1>
    </dataValidation>
    <dataValidation type="list" allowBlank="1" showInputMessage="1" showErrorMessage="1" errorTitle="RVO zu Kinderzuschlag:" error="Eingabe lt. Liste. Die Werte steigen nach Anzahl der Kinder!" sqref="F55">
      <formula1>"0,130,305,525,745,965,1185,1405"</formula1>
    </dataValidation>
    <dataValidation type="decimal" allowBlank="1" showInputMessage="1" showErrorMessage="1" errorTitle="RVO: Fehler zu UV !!!" error="Die Eingabe erfordert einen negativen Wert!" sqref="C40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B14:B32 B82 C77:C78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0">
      <formula1>-99.99</formula1>
      <formula2>0.01</formula2>
    </dataValidation>
    <dataValidation type="decimal" allowBlank="1" showInputMessage="1" showErrorMessage="1" errorTitle="RVO: Fehler zu Einnahme!" error="Werte zwischen Null und 999.999,- erlaubt!" sqref="B3:B10 C8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2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49">
      <formula1>-2200</formula1>
      <formula2>0</formula2>
    </dataValidation>
    <dataValidation type="decimal" allowBlank="1" showInputMessage="1" showErrorMessage="1" errorTitle="RVO zu Ist-Werte AB" error="Die Eingabe erlaubt einen positiven Wert von 0 bis 40.000!" sqref="E51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47:E48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57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47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4">
      <formula1>0</formula1>
    </dataValidation>
    <dataValidation type="decimal" operator="lessThanOrEqual" allowBlank="1" showInputMessage="1" showErrorMessage="1" errorTitle="RVO: Fehler zu KV!" error="Die Eingabe ist auf einen negativen Wert beschränkt!" sqref="D42">
      <formula1>0</formula1>
    </dataValidation>
    <dataValidation type="decimal" operator="lessThanOrEqual" allowBlank="1" showInputMessage="1" showErrorMessage="1" errorTitle="RVO: Fehler zu PV!" error="Die Eingabe ist auf einen negativen Wert beschränkt!" sqref="D41">
      <formula1>0</formula1>
    </dataValidation>
    <dataValidation type="decimal" operator="lessThanOrEqual" allowBlank="1" showInputMessage="1" showErrorMessage="1" errorTitle="RVO: Fehler zu Afg!" error="Die Eingabe ist auf einen negativen Wert beschränkt!" sqref="D43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1:F44">
      <formula1>0</formula1>
    </dataValidation>
    <dataValidation type="decimal" operator="lessThanOrEqual" allowBlank="1" showInputMessage="1" showErrorMessage="1" errorTitle="RVO: Fehler zu FBiG!" error="Nur negative Werte erlaubt!" sqref="C38">
      <formula1>0</formula1>
    </dataValidation>
  </dataValidations>
  <hyperlinks>
    <hyperlink ref="F35" r:id="rId1" display="www.rvo.at"/>
    <hyperlink ref="F61" r:id="rId2" display="www.rvo.at"/>
    <hyperlink ref="F69" r:id="rId3" display="www.rvo.at"/>
    <hyperlink ref="F76" r:id="rId4" display="www.rvo.at"/>
    <hyperlink ref="G41" r:id="rId5" display="http://esv-sva.sozvers.at/portal/index.html?ctrl:cmd=render&amp;ctrl:window=svaportal.channel_content.cmsWindow&amp;p_menuid=59135&amp;p_tabid=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&amp;L&amp;8&amp;Z&amp;F&amp;R&amp;8(c) www.rvo.at</oddFooter>
  </headerFooter>
  <rowBreaks count="1" manualBreakCount="1">
    <brk id="60" max="5" man="1"/>
  </rowBreaks>
  <legacyDrawing r:id="rId7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05"/>
  <sheetViews>
    <sheetView workbookViewId="0">
      <pane ySplit="1" topLeftCell="A2" activePane="bottomLeft" state="frozen"/>
      <selection pane="bottomLeft" activeCell="C4" sqref="C4"/>
    </sheetView>
  </sheetViews>
  <sheetFormatPr baseColWidth="10" defaultColWidth="11.44140625" defaultRowHeight="11.4" outlineLevelRow="1"/>
  <cols>
    <col min="1" max="1" width="29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>ROUND(B3*12,2)</f>
        <v>36000</v>
      </c>
      <c r="D3" s="68">
        <f t="shared" ref="D3:D10" si="0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ref="C4:C10" si="1">ROUND(B4*12,2)</f>
        <v>0</v>
      </c>
      <c r="D4" s="68" t="str">
        <f t="shared" si="0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1"/>
        <v>0</v>
      </c>
      <c r="D5" s="68" t="str">
        <f t="shared" si="0"/>
        <v/>
      </c>
      <c r="E5" s="60"/>
      <c r="F5" s="60"/>
    </row>
    <row r="6" spans="1:8" outlineLevel="1">
      <c r="A6" s="4" t="s">
        <v>33</v>
      </c>
      <c r="B6" s="41"/>
      <c r="C6" s="5">
        <f t="shared" si="1"/>
        <v>0</v>
      </c>
      <c r="D6" s="68" t="str">
        <f t="shared" si="0"/>
        <v/>
      </c>
      <c r="E6" s="60"/>
      <c r="F6" s="60"/>
    </row>
    <row r="7" spans="1:8" outlineLevel="1">
      <c r="A7" s="4" t="s">
        <v>34</v>
      </c>
      <c r="B7" s="41"/>
      <c r="C7" s="5">
        <f t="shared" si="1"/>
        <v>0</v>
      </c>
      <c r="D7" s="68" t="str">
        <f t="shared" si="0"/>
        <v/>
      </c>
      <c r="E7" s="60"/>
      <c r="F7" s="60"/>
    </row>
    <row r="8" spans="1:8" outlineLevel="1">
      <c r="A8" s="4" t="s">
        <v>35</v>
      </c>
      <c r="B8" s="41"/>
      <c r="C8" s="5">
        <f t="shared" si="1"/>
        <v>0</v>
      </c>
      <c r="D8" s="68" t="str">
        <f t="shared" si="0"/>
        <v/>
      </c>
      <c r="E8" s="60"/>
      <c r="F8" s="60"/>
    </row>
    <row r="9" spans="1:8" outlineLevel="1">
      <c r="A9" s="4" t="s">
        <v>36</v>
      </c>
      <c r="B9" s="41"/>
      <c r="C9" s="5">
        <f t="shared" si="1"/>
        <v>0</v>
      </c>
      <c r="D9" s="68" t="str">
        <f t="shared" si="0"/>
        <v/>
      </c>
      <c r="E9" s="60"/>
      <c r="F9" s="60"/>
    </row>
    <row r="10" spans="1:8" outlineLevel="1">
      <c r="A10" s="4" t="s">
        <v>37</v>
      </c>
      <c r="B10" s="41"/>
      <c r="C10" s="5">
        <f t="shared" si="1"/>
        <v>0</v>
      </c>
      <c r="D10" s="68" t="str">
        <f t="shared" si="0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20.25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2" si="2">ROUND(B14*12,2)</f>
        <v>0</v>
      </c>
      <c r="D14" s="68" t="str">
        <f t="shared" ref="D14:D32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20</v>
      </c>
      <c r="B31" s="42"/>
      <c r="C31" s="15">
        <f t="shared" si="2"/>
        <v>0</v>
      </c>
      <c r="D31" s="68" t="str">
        <f t="shared" si="3"/>
        <v/>
      </c>
      <c r="E31" s="60"/>
      <c r="F31" s="61"/>
    </row>
    <row r="32" spans="1:7">
      <c r="A32" s="63" t="s">
        <v>21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 ht="12" thickBot="1">
      <c r="A33" s="65" t="s">
        <v>39</v>
      </c>
      <c r="B33" s="40">
        <f>ROUND(SUM(B14:B32),2)</f>
        <v>0</v>
      </c>
      <c r="C33" s="40">
        <f>ROUND(SUM(C14:C32),2)</f>
        <v>0</v>
      </c>
      <c r="D33" s="67">
        <f>ROUND(SUM(D14:D32),3)</f>
        <v>0</v>
      </c>
      <c r="E33" s="37"/>
      <c r="F33" s="36"/>
    </row>
    <row r="34" spans="1:9" ht="20.25" customHeight="1" thickTop="1">
      <c r="A34" s="10"/>
      <c r="B34" s="11"/>
      <c r="C34" s="11"/>
      <c r="D34" s="12"/>
      <c r="E34" s="13"/>
      <c r="F34" s="13"/>
    </row>
    <row r="35" spans="1:9">
      <c r="A35" s="1" t="s">
        <v>3</v>
      </c>
      <c r="B35" s="2" t="s">
        <v>0</v>
      </c>
      <c r="C35" s="2" t="s">
        <v>1</v>
      </c>
      <c r="D35" s="34" t="s">
        <v>4</v>
      </c>
      <c r="E35" s="35"/>
      <c r="F35" s="104" t="s">
        <v>58</v>
      </c>
    </row>
    <row r="36" spans="1:9">
      <c r="A36" s="3" t="s">
        <v>5</v>
      </c>
      <c r="B36" s="15">
        <f>ROUND(B11,2)</f>
        <v>3000</v>
      </c>
      <c r="C36" s="15">
        <f>ROUND(B36*12,2)</f>
        <v>36000</v>
      </c>
      <c r="D36" s="49">
        <v>1</v>
      </c>
      <c r="E36" s="6"/>
      <c r="F36" s="6"/>
    </row>
    <row r="37" spans="1:9">
      <c r="A37" s="16" t="s">
        <v>6</v>
      </c>
      <c r="B37" s="17">
        <f>ROUND(B33,2)</f>
        <v>0</v>
      </c>
      <c r="C37" s="18">
        <f>ROUND(B37*12,2)</f>
        <v>0</v>
      </c>
      <c r="D37" s="49">
        <f>ROUND(C37/C36,3)</f>
        <v>0</v>
      </c>
      <c r="E37" s="6"/>
      <c r="F37" s="6"/>
    </row>
    <row r="38" spans="1:9">
      <c r="A38" s="16" t="s">
        <v>80</v>
      </c>
      <c r="B38" s="17">
        <f>ROUND(C38/12,2)</f>
        <v>0</v>
      </c>
      <c r="C38" s="46"/>
      <c r="D38" s="49">
        <f>ROUND(C38/C36,3)</f>
        <v>0</v>
      </c>
      <c r="E38" s="16"/>
      <c r="F38" s="30"/>
    </row>
    <row r="39" spans="1:9" outlineLevel="1">
      <c r="A39" s="32" t="s">
        <v>42</v>
      </c>
      <c r="B39" s="47">
        <f>SUM(B36:B38)</f>
        <v>3000</v>
      </c>
      <c r="C39" s="47">
        <f>SUM(C36:C38)</f>
        <v>36000</v>
      </c>
      <c r="D39" s="48">
        <f>ROUND(SUM(D36:D38),3)</f>
        <v>1</v>
      </c>
      <c r="E39" s="31"/>
      <c r="F39" s="33"/>
    </row>
    <row r="40" spans="1:9" outlineLevel="1">
      <c r="A40" s="117" t="s">
        <v>77</v>
      </c>
      <c r="B40" s="43">
        <v>-7.65</v>
      </c>
      <c r="C40" s="52">
        <f>ROUND(B40*12,2)</f>
        <v>-91.8</v>
      </c>
      <c r="D40" s="322" t="s">
        <v>43</v>
      </c>
      <c r="E40" s="322"/>
      <c r="F40" s="322"/>
      <c r="G40" s="116" t="s">
        <v>74</v>
      </c>
    </row>
    <row r="41" spans="1:9" ht="13.2" outlineLevel="1">
      <c r="A41" s="118" t="s">
        <v>78</v>
      </c>
      <c r="B41" s="52">
        <f>IF(B$39&lt;E41,E41*D41,IF(B$39&gt;F41,F41*D41,B$39*D41))</f>
        <v>-472.5</v>
      </c>
      <c r="C41" s="52">
        <f>B41*12</f>
        <v>-5670</v>
      </c>
      <c r="D41" s="69">
        <v>-0.1575</v>
      </c>
      <c r="E41" s="44">
        <v>951.87</v>
      </c>
      <c r="F41" s="119">
        <v>4585</v>
      </c>
      <c r="G41" s="115" t="s">
        <v>73</v>
      </c>
    </row>
    <row r="42" spans="1:9" ht="13.2" outlineLevel="1">
      <c r="A42" s="117" t="s">
        <v>79</v>
      </c>
      <c r="B42" s="52">
        <f>IF(B$39&lt;E42,E42*D42,IF(B$39&gt;F42,F42*D42,B$39*D42))</f>
        <v>-229.5</v>
      </c>
      <c r="C42" s="52">
        <f>B42*12</f>
        <v>-2754</v>
      </c>
      <c r="D42" s="69">
        <v>-7.6499999999999999E-2</v>
      </c>
      <c r="E42" s="44">
        <v>622.42999999999995</v>
      </c>
      <c r="F42" s="119">
        <v>4585</v>
      </c>
      <c r="G42" s="115"/>
    </row>
    <row r="43" spans="1:9" ht="13.2" outlineLevel="1">
      <c r="A43" s="117" t="s">
        <v>75</v>
      </c>
      <c r="B43" s="52">
        <f>IF(B$39&lt;E43,E43*D43,IF(B$39&gt;F43,F43*D43,B$39*D43))</f>
        <v>-35.075249999999997</v>
      </c>
      <c r="C43" s="52">
        <f>B43*12</f>
        <v>-420.90299999999996</v>
      </c>
      <c r="D43" s="69">
        <v>-1.5299999999999999E-2</v>
      </c>
      <c r="E43" s="44">
        <v>2292.5</v>
      </c>
      <c r="F43" s="119">
        <v>2292.5</v>
      </c>
      <c r="G43" s="115"/>
    </row>
    <row r="44" spans="1:9" outlineLevel="1">
      <c r="A44" s="118" t="s">
        <v>76</v>
      </c>
      <c r="B44" s="52">
        <f>IF(B$39&lt;E44,E44*D44,IF(B$39&gt;F44,F44*D44,B$39*D44))</f>
        <v>0</v>
      </c>
      <c r="C44" s="52">
        <f>B44*12</f>
        <v>0</v>
      </c>
      <c r="D44" s="69"/>
      <c r="E44" s="44">
        <v>2292.5</v>
      </c>
      <c r="F44" s="119">
        <v>2292.5</v>
      </c>
    </row>
    <row r="45" spans="1:9">
      <c r="A45" s="32" t="s">
        <v>7</v>
      </c>
      <c r="B45" s="47">
        <f>ROUND(SUM(B40:B44),2)</f>
        <v>-744.73</v>
      </c>
      <c r="C45" s="47">
        <f>ROUND(SUM(C40:C44),2)</f>
        <v>-8936.7000000000007</v>
      </c>
      <c r="D45" s="48">
        <f>ROUND(C45/C36,3)</f>
        <v>-0.248</v>
      </c>
      <c r="E45" s="33"/>
      <c r="F45" s="33"/>
    </row>
    <row r="46" spans="1:9" ht="13.5" customHeight="1">
      <c r="A46" s="70" t="s">
        <v>45</v>
      </c>
      <c r="B46" s="50">
        <f>SUM(B39,B45)</f>
        <v>2255.27</v>
      </c>
      <c r="C46" s="50">
        <f>SUM(C36:C38,C45)</f>
        <v>27063.3</v>
      </c>
      <c r="D46" s="51">
        <f>ROUND(D36+D38+D45,3)</f>
        <v>0.752</v>
      </c>
      <c r="E46" s="71" t="s">
        <v>46</v>
      </c>
      <c r="F46" s="71" t="s">
        <v>47</v>
      </c>
      <c r="G46" s="72" t="str">
        <f>IF(B54&gt;2,"MKZ","")</f>
        <v/>
      </c>
      <c r="H46" s="15"/>
      <c r="I46" s="15"/>
    </row>
    <row r="47" spans="1:9" ht="13.5" customHeight="1">
      <c r="A47" s="73" t="s">
        <v>48</v>
      </c>
      <c r="B47" s="73"/>
      <c r="C47" s="74">
        <f>ROUND(IF(C46&lt;36400,IF(E47&lt;240,-60,IF(E47&lt;F47,E47/-4,F47/-4)),IF(C46&lt;50900,(50900-C46)*(IF(E47&lt;240,-60,IF(E47&lt;F47,E47/-4,F47/-4)))/14500,0)),2)</f>
        <v>-60</v>
      </c>
      <c r="D47" s="3"/>
      <c r="E47" s="75"/>
      <c r="F47" s="76">
        <f>IF(B53=0,2920,IF(B54&lt;3,5840,IF(G47="ohne MKZ",5840,7300)))</f>
        <v>2920</v>
      </c>
      <c r="G47" s="77"/>
      <c r="H47" s="15"/>
      <c r="I47" s="15"/>
    </row>
    <row r="48" spans="1:9" ht="13.5" customHeight="1">
      <c r="A48" s="19" t="s">
        <v>49</v>
      </c>
      <c r="B48" s="19"/>
      <c r="C48" s="45"/>
      <c r="D48" s="16"/>
      <c r="E48" s="78"/>
      <c r="F48" s="21"/>
      <c r="G48" s="100" t="str">
        <f>IF(G47="inkl. MKZ für",IF(ISBLANK(G50),ROUND((B54-2)*12,0),""),"")</f>
        <v/>
      </c>
      <c r="H48" s="15"/>
      <c r="I48" s="15"/>
    </row>
    <row r="49" spans="1:9" ht="13.5" hidden="1" customHeight="1">
      <c r="A49" s="79" t="s">
        <v>50</v>
      </c>
      <c r="B49" s="79"/>
      <c r="C49" s="80">
        <f>ROUND(IF(SUM(C46:C48)&lt;0,0,SUM(C46:C48)),2)</f>
        <v>27003.3</v>
      </c>
      <c r="D49" s="81"/>
      <c r="E49" s="82"/>
      <c r="F49" s="83">
        <f>ROUND(IF(C49&gt;36400,0.12,IF(C49&gt;14600,0.1,IF(C49&gt;7300,0.08,0.06)))-SUM(B53/100,B54/100),3)</f>
        <v>0.1</v>
      </c>
      <c r="G49" s="101"/>
      <c r="H49" s="15"/>
      <c r="I49" s="15"/>
    </row>
    <row r="50" spans="1:9" ht="13.5" customHeight="1">
      <c r="A50" s="84" t="str">
        <f>CONCATENATE("außergew. Belastungen ",F49*-100,"% Selbstbehalt")</f>
        <v>außergew. Belastungen -10% Selbstbehalt</v>
      </c>
      <c r="B50" s="84"/>
      <c r="C50" s="74">
        <f>ROUND(IF(E50&lt;F50,0,(E50-F50)*-1),2)</f>
        <v>0</v>
      </c>
      <c r="D50" s="3"/>
      <c r="E50" s="75"/>
      <c r="F50" s="76">
        <f>ROUND(C49*F49,2)</f>
        <v>2700.33</v>
      </c>
      <c r="G50" s="102"/>
      <c r="H50" s="15"/>
      <c r="I50" s="15"/>
    </row>
    <row r="51" spans="1:9" ht="13.5" customHeight="1">
      <c r="A51" s="22" t="s">
        <v>51</v>
      </c>
      <c r="B51" s="22"/>
      <c r="C51" s="46"/>
      <c r="D51" s="22"/>
      <c r="E51" s="85"/>
      <c r="F51" s="24"/>
      <c r="G51" s="103"/>
      <c r="H51" s="15"/>
      <c r="I51" s="15"/>
    </row>
    <row r="52" spans="1:9" s="20" customFormat="1" ht="12">
      <c r="A52" s="70" t="s">
        <v>81</v>
      </c>
      <c r="B52" s="86">
        <v>1</v>
      </c>
      <c r="C52" s="80">
        <f>ROUND(IF(SUM(C49:C51)&lt;0,0,SUM(C49:C51)),2)</f>
        <v>27003.3</v>
      </c>
      <c r="E52" s="87">
        <f>F52/C52</f>
        <v>-0.24527965100561783</v>
      </c>
      <c r="F52" s="23">
        <f>ROUND(IF(C52&lt;=10000,0,IF(C52&lt;=25000,(C52-10000)*5750/15000,IF(C52&lt;=51000,(C52-25000)*11335/26000+5750,(C52-51000)*0.5+17085)))*-1,2)</f>
        <v>-6623.36</v>
      </c>
      <c r="G52" s="103"/>
    </row>
    <row r="53" spans="1:9" s="20" customFormat="1">
      <c r="A53" s="19" t="s">
        <v>8</v>
      </c>
      <c r="B53" s="88">
        <f>IF(F53&gt;0,1,0)</f>
        <v>0</v>
      </c>
      <c r="C53" s="89"/>
      <c r="E53" s="87">
        <f>F53/C52</f>
        <v>0</v>
      </c>
      <c r="F53" s="90"/>
      <c r="G53" s="103"/>
    </row>
    <row r="54" spans="1:9" s="20" customFormat="1">
      <c r="A54" s="19" t="s">
        <v>52</v>
      </c>
      <c r="B54" s="88">
        <f>IF(F54=130,1,IF(F54=305,2,IF(F54=525,3,IF(F54=745,4,IF(F54=965,5,IF(F54=1185,6,IF(F54=1405,7,0)))))))</f>
        <v>0</v>
      </c>
      <c r="C54" s="21"/>
      <c r="D54" s="19"/>
      <c r="E54" s="87">
        <f>F54/C52</f>
        <v>0</v>
      </c>
      <c r="F54" s="90"/>
      <c r="G54" s="103"/>
    </row>
    <row r="55" spans="1:9" s="20" customFormat="1" hidden="1">
      <c r="A55" s="79" t="s">
        <v>53</v>
      </c>
      <c r="B55" s="79"/>
      <c r="C55" s="80"/>
      <c r="D55" s="79"/>
      <c r="E55" s="91"/>
      <c r="F55" s="80">
        <f>ROUND(IF(F54=0,IF(SUM(F52:F53)&gt;0,0,SUM(F52:F54)),SUM(F52:F54)),2)</f>
        <v>-6623.36</v>
      </c>
      <c r="G55" s="103"/>
    </row>
    <row r="56" spans="1:9" s="20" customFormat="1">
      <c r="A56" s="25" t="s">
        <v>54</v>
      </c>
      <c r="B56" s="92">
        <f>IF(F56&gt;0,1,0)</f>
        <v>0</v>
      </c>
      <c r="C56" s="74"/>
      <c r="E56" s="87">
        <f>F56/C52</f>
        <v>0</v>
      </c>
      <c r="F56" s="90"/>
      <c r="G56" s="103"/>
    </row>
    <row r="57" spans="1:9" s="20" customFormat="1">
      <c r="A57" s="93" t="str">
        <f>IF(F57&lt;=0,"Einkommensteuer (ESt) des Jahres","ESt-Gutschrift aus Negativsteuer")</f>
        <v>Einkommensteuer (ESt) des Jahres</v>
      </c>
      <c r="B57" s="93"/>
      <c r="C57" s="80">
        <f>F57</f>
        <v>-6623.36</v>
      </c>
      <c r="D57" s="91">
        <f>ROUND(C57/C36,3)</f>
        <v>-0.184</v>
      </c>
      <c r="E57" s="91">
        <f>SUM(E52:E56)</f>
        <v>-0.24527965100561783</v>
      </c>
      <c r="F57" s="80">
        <f>ROUND(IF(F55&gt;0,F55,IF(SUM(F55:F56)&gt;0,0,SUM(F55:F56))),2)</f>
        <v>-6623.36</v>
      </c>
      <c r="G57" s="74" t="str">
        <f>IF(G47="inkl. MKZ für",IF(B54&gt;2,IF(ISBLANK(G50),ROUND(G48*36.4,2),ROUND(G50*36.4,2)),""),"")</f>
        <v/>
      </c>
    </row>
    <row r="58" spans="1:9" s="20" customFormat="1" ht="13.5" customHeight="1" thickBot="1">
      <c r="A58" s="94" t="s">
        <v>82</v>
      </c>
      <c r="B58" s="95"/>
      <c r="C58" s="96">
        <f>SUM(C52:C57)</f>
        <v>20379.939999999999</v>
      </c>
      <c r="D58" s="67">
        <f>ROUND(C58/C36,3)</f>
        <v>0.56599999999999995</v>
      </c>
      <c r="E58" s="323" t="str">
        <f>IF(C52&lt;=10000,"",CONCATENATE(" (Grenzsteuersatz .. ",IF(C52&lt;=25000,"38,4 %",IF(C52&lt;=51000,"43,6 %","50 %")),")"))</f>
        <v xml:space="preserve"> (Grenzsteuersatz .. 43,6 %)</v>
      </c>
      <c r="F58" s="323"/>
    </row>
    <row r="59" spans="1:9" s="20" customFormat="1" ht="29.25" customHeight="1" thickTop="1">
      <c r="A59" s="26"/>
      <c r="B59" s="26"/>
      <c r="C59" s="27"/>
      <c r="D59" s="27"/>
      <c r="E59" s="27"/>
      <c r="F59" s="39"/>
    </row>
    <row r="60" spans="1:9" ht="12">
      <c r="A60" s="1" t="s">
        <v>63</v>
      </c>
      <c r="B60" s="2" t="s">
        <v>0</v>
      </c>
      <c r="C60" s="2" t="s">
        <v>1</v>
      </c>
      <c r="D60" s="34" t="s">
        <v>4</v>
      </c>
      <c r="E60" s="35"/>
      <c r="F60" s="104" t="s">
        <v>58</v>
      </c>
    </row>
    <row r="61" spans="1:9">
      <c r="A61" s="4" t="s">
        <v>5</v>
      </c>
      <c r="B61" s="53">
        <f>ROUND(B36,2)</f>
        <v>3000</v>
      </c>
      <c r="C61" s="18">
        <f>B61*12</f>
        <v>36000</v>
      </c>
      <c r="D61" s="57">
        <v>1</v>
      </c>
    </row>
    <row r="62" spans="1:9">
      <c r="A62" s="4" t="s">
        <v>9</v>
      </c>
      <c r="B62" s="54">
        <f>ROUND(SUM(B14:B16,B18:B23,B25:B32),2)</f>
        <v>0</v>
      </c>
      <c r="C62" s="18">
        <f>B62*12</f>
        <v>0</v>
      </c>
      <c r="D62" s="57">
        <f>ROUND(B62/B61,3)</f>
        <v>0</v>
      </c>
    </row>
    <row r="63" spans="1:9">
      <c r="A63" s="16" t="s">
        <v>7</v>
      </c>
      <c r="B63" s="53">
        <f>ROUND(B45,2)</f>
        <v>-744.73</v>
      </c>
      <c r="C63" s="18">
        <f>B63*12</f>
        <v>-8936.76</v>
      </c>
      <c r="D63" s="57">
        <f>ROUND(B63/B61,3)</f>
        <v>-0.248</v>
      </c>
    </row>
    <row r="64" spans="1:9">
      <c r="A64" s="4" t="s">
        <v>83</v>
      </c>
      <c r="B64" s="53">
        <f>ROUND(C57/12,2)</f>
        <v>-551.95000000000005</v>
      </c>
      <c r="C64" s="18">
        <f>B64*12</f>
        <v>-6623.4000000000005</v>
      </c>
      <c r="D64" s="57">
        <f>ROUND(B64/B61,3)</f>
        <v>-0.184</v>
      </c>
    </row>
    <row r="65" spans="1:6" ht="12" thickBot="1">
      <c r="A65" s="8" t="s">
        <v>55</v>
      </c>
      <c r="B65" s="55">
        <f>ROUND(SUM(B61:B64),2)</f>
        <v>1703.32</v>
      </c>
      <c r="C65" s="28">
        <f>B65*12</f>
        <v>20439.84</v>
      </c>
      <c r="D65" s="58">
        <f>ROUND(B65/B61,3)</f>
        <v>0.56799999999999995</v>
      </c>
      <c r="E65" s="38"/>
      <c r="F65" s="37"/>
    </row>
    <row r="66" spans="1:6" ht="12.6" thickTop="1" thickBot="1">
      <c r="A66" s="29" t="s">
        <v>56</v>
      </c>
      <c r="B66" s="56">
        <f>ROUND(B65*12/14,2)</f>
        <v>1459.99</v>
      </c>
      <c r="C66" s="97"/>
      <c r="D66" s="98"/>
      <c r="E66" s="99"/>
      <c r="F66" s="99"/>
    </row>
    <row r="67" spans="1:6" s="20" customFormat="1" ht="25.5" customHeight="1" thickTop="1">
      <c r="A67" s="26"/>
      <c r="B67" s="26"/>
      <c r="C67" s="27"/>
      <c r="D67" s="27"/>
      <c r="E67" s="27"/>
      <c r="F67" s="39"/>
    </row>
    <row r="68" spans="1:6" ht="13.2">
      <c r="A68" s="108" t="s">
        <v>64</v>
      </c>
      <c r="B68" s="2" t="s">
        <v>0</v>
      </c>
      <c r="C68" s="2" t="s">
        <v>1</v>
      </c>
      <c r="D68" s="34"/>
      <c r="E68" s="35"/>
      <c r="F68" s="104" t="s">
        <v>58</v>
      </c>
    </row>
    <row r="69" spans="1:6" ht="13.5" customHeight="1">
      <c r="A69" s="20" t="s">
        <v>59</v>
      </c>
      <c r="B69" s="105">
        <f>C69/12</f>
        <v>2255.2750000000001</v>
      </c>
      <c r="C69" s="105">
        <f>C11+C33+C45-C17-C32</f>
        <v>27063.3</v>
      </c>
    </row>
    <row r="70" spans="1:6">
      <c r="A70" s="20" t="s">
        <v>60</v>
      </c>
      <c r="B70" s="105">
        <f>C70/12</f>
        <v>0</v>
      </c>
      <c r="C70" s="105">
        <f>C32</f>
        <v>0</v>
      </c>
    </row>
    <row r="71" spans="1:6">
      <c r="A71" s="93" t="s">
        <v>61</v>
      </c>
      <c r="B71" s="80">
        <f>SUM(B69:B70)</f>
        <v>2255.2750000000001</v>
      </c>
      <c r="C71" s="80">
        <f>SUM(C69:C70)</f>
        <v>27063.3</v>
      </c>
    </row>
    <row r="72" spans="1:6">
      <c r="A72" s="20" t="s">
        <v>62</v>
      </c>
      <c r="B72" s="105">
        <f>C72/12</f>
        <v>0</v>
      </c>
      <c r="C72" s="105">
        <f>C17</f>
        <v>0</v>
      </c>
    </row>
    <row r="73" spans="1:6" ht="12" thickBot="1">
      <c r="A73" s="106" t="str">
        <f>IF(C73&lt;0,"   V e r l u s t","   G e w i n n   ( Überschuß)")</f>
        <v xml:space="preserve">   G e w i n n   ( Überschuß)</v>
      </c>
      <c r="B73" s="107">
        <f>ROUND(SUM(B71:B72),2)</f>
        <v>2255.2800000000002</v>
      </c>
      <c r="C73" s="107">
        <f>ROUND(SUM(C71:C72),2)</f>
        <v>27063.3</v>
      </c>
      <c r="D73" s="109"/>
      <c r="E73" s="37"/>
      <c r="F73" s="37"/>
    </row>
    <row r="74" spans="1:6" s="20" customFormat="1" ht="25.5" customHeight="1" thickTop="1">
      <c r="A74" s="26"/>
      <c r="B74" s="26"/>
      <c r="C74" s="27"/>
      <c r="D74" s="27"/>
      <c r="E74" s="27"/>
      <c r="F74" s="39"/>
    </row>
    <row r="75" spans="1:6" ht="13.2">
      <c r="A75" s="108" t="s">
        <v>65</v>
      </c>
      <c r="B75" s="2" t="s">
        <v>0</v>
      </c>
      <c r="C75" s="2" t="s">
        <v>1</v>
      </c>
      <c r="D75" s="34"/>
      <c r="E75" s="35"/>
      <c r="F75" s="104" t="s">
        <v>58</v>
      </c>
    </row>
    <row r="76" spans="1:6" ht="12.75" customHeight="1">
      <c r="A76" s="4" t="s">
        <v>66</v>
      </c>
      <c r="C76" s="113"/>
    </row>
    <row r="77" spans="1:6">
      <c r="A77" s="110" t="s">
        <v>67</v>
      </c>
      <c r="B77" s="111"/>
      <c r="C77" s="46"/>
    </row>
    <row r="78" spans="1:6" ht="14.25" customHeight="1">
      <c r="A78" s="4" t="s">
        <v>68</v>
      </c>
      <c r="C78" s="18">
        <f>SUM(C76:C77)</f>
        <v>0</v>
      </c>
    </row>
    <row r="79" spans="1:6">
      <c r="A79" s="110" t="s">
        <v>69</v>
      </c>
      <c r="B79" s="111"/>
      <c r="C79" s="46"/>
      <c r="D79" s="114"/>
      <c r="E79" s="112">
        <f>SUM(C78:C79)</f>
        <v>0</v>
      </c>
    </row>
    <row r="80" spans="1:6" ht="17.25" customHeight="1">
      <c r="A80" s="4" t="s">
        <v>70</v>
      </c>
      <c r="B80" s="18">
        <f>C80/12</f>
        <v>1703.32</v>
      </c>
      <c r="C80" s="18">
        <f>C65</f>
        <v>20439.84</v>
      </c>
    </row>
    <row r="81" spans="1:6">
      <c r="A81" s="110" t="s">
        <v>71</v>
      </c>
      <c r="B81" s="46"/>
      <c r="C81" s="112">
        <f>B81*12</f>
        <v>0</v>
      </c>
      <c r="D81" s="114"/>
      <c r="E81" s="112">
        <f>SUM(C80:C81)</f>
        <v>20439.84</v>
      </c>
    </row>
    <row r="82" spans="1:6" ht="13.5" customHeight="1">
      <c r="A82" s="4" t="s">
        <v>72</v>
      </c>
      <c r="B82" s="18">
        <f>C82/12</f>
        <v>0</v>
      </c>
      <c r="C82" s="113"/>
      <c r="E82" s="18">
        <f>C82</f>
        <v>0</v>
      </c>
    </row>
    <row r="83" spans="1:6" ht="15" customHeight="1" thickBot="1">
      <c r="A83" s="106" t="str">
        <f>IF(C83&lt;0,"   U n t e r d e c k u n g   gesamt","   Ü b e r d e c k u n g   gesamt")</f>
        <v xml:space="preserve">   Ü b e r d e c k u n g   gesamt</v>
      </c>
      <c r="B83" s="9"/>
      <c r="C83" s="28">
        <f>SUM(C78:C82)</f>
        <v>20439.84</v>
      </c>
      <c r="D83" s="109"/>
      <c r="E83" s="28">
        <f>SUM(E79:E82)</f>
        <v>20439.84</v>
      </c>
      <c r="F83" s="37"/>
    </row>
    <row r="84" spans="1:6" s="20" customFormat="1" ht="25.5" customHeight="1" thickTop="1">
      <c r="A84" s="26"/>
      <c r="B84" s="26"/>
      <c r="C84" s="27"/>
      <c r="D84" s="27"/>
      <c r="E84" s="27"/>
      <c r="F84" s="39"/>
    </row>
    <row r="85" spans="1:6">
      <c r="C85" s="5"/>
    </row>
    <row r="86" spans="1:6">
      <c r="C86" s="5"/>
    </row>
    <row r="87" spans="1:6">
      <c r="C87" s="5"/>
    </row>
    <row r="88" spans="1:6">
      <c r="C88" s="5"/>
    </row>
    <row r="89" spans="1:6">
      <c r="C89" s="5"/>
    </row>
    <row r="90" spans="1:6">
      <c r="C90" s="5"/>
    </row>
    <row r="91" spans="1:6">
      <c r="C91" s="5"/>
    </row>
    <row r="92" spans="1:6">
      <c r="C92" s="5"/>
    </row>
    <row r="93" spans="1:6">
      <c r="C93" s="5"/>
    </row>
    <row r="94" spans="1:6">
      <c r="C94" s="5"/>
    </row>
    <row r="95" spans="1:6">
      <c r="C95" s="5"/>
    </row>
    <row r="96" spans="1:6">
      <c r="C96" s="5"/>
    </row>
    <row r="97" spans="3:3">
      <c r="C97" s="5"/>
    </row>
    <row r="98" spans="3:3">
      <c r="C98" s="5"/>
    </row>
    <row r="99" spans="3:3">
      <c r="C99" s="5"/>
    </row>
    <row r="100" spans="3:3">
      <c r="C100" s="5"/>
    </row>
    <row r="101" spans="3:3">
      <c r="C101" s="5"/>
    </row>
    <row r="102" spans="3:3">
      <c r="C102" s="5"/>
    </row>
    <row r="103" spans="3:3">
      <c r="C103" s="5"/>
    </row>
    <row r="104" spans="3:3">
      <c r="C104" s="5"/>
    </row>
    <row r="105" spans="3:3">
      <c r="C105" s="5"/>
    </row>
  </sheetData>
  <sheetProtection sheet="1" objects="1" scenarios="1"/>
  <mergeCells count="4">
    <mergeCell ref="D40:F40"/>
    <mergeCell ref="A1:D1"/>
    <mergeCell ref="E1:F1"/>
    <mergeCell ref="E58:F58"/>
  </mergeCells>
  <phoneticPr fontId="7" type="noConversion"/>
  <conditionalFormatting sqref="F53">
    <cfRule type="expression" dxfId="18" priority="1" stopIfTrue="1">
      <formula>AND(F53=0,F54&gt;0)</formula>
    </cfRule>
  </conditionalFormatting>
  <conditionalFormatting sqref="F54">
    <cfRule type="expression" dxfId="17" priority="2" stopIfTrue="1">
      <formula>AND(F53=0,F54&gt;0)</formula>
    </cfRule>
  </conditionalFormatting>
  <conditionalFormatting sqref="B53">
    <cfRule type="expression" dxfId="16" priority="3" stopIfTrue="1">
      <formula>AND(F53=0,F54&gt;0)</formula>
    </cfRule>
  </conditionalFormatting>
  <conditionalFormatting sqref="B54">
    <cfRule type="expression" dxfId="15" priority="4" stopIfTrue="1">
      <formula>AND(F53=0,F54&gt;0)</formula>
    </cfRule>
  </conditionalFormatting>
  <conditionalFormatting sqref="G47">
    <cfRule type="expression" dxfId="14" priority="5" stopIfTrue="1">
      <formula>AND(B54&gt;2)</formula>
    </cfRule>
  </conditionalFormatting>
  <conditionalFormatting sqref="G48">
    <cfRule type="expression" dxfId="13" priority="6" stopIfTrue="1">
      <formula>AND(B54&gt;2)</formula>
    </cfRule>
  </conditionalFormatting>
  <conditionalFormatting sqref="G50">
    <cfRule type="expression" dxfId="12" priority="7" stopIfTrue="1">
      <formula>AND(B54&gt;2)</formula>
    </cfRule>
  </conditionalFormatting>
  <conditionalFormatting sqref="G51:G56">
    <cfRule type="expression" dxfId="11" priority="8" stopIfTrue="1">
      <formula>AND(B$54&gt;2)</formula>
    </cfRule>
  </conditionalFormatting>
  <conditionalFormatting sqref="G57">
    <cfRule type="expression" dxfId="10" priority="9" stopIfTrue="1">
      <formula>AND(B54&gt;2)</formula>
    </cfRule>
  </conditionalFormatting>
  <conditionalFormatting sqref="G46">
    <cfRule type="expression" dxfId="9" priority="10" stopIfTrue="1">
      <formula>AND(B54&gt;2)</formula>
    </cfRule>
  </conditionalFormatting>
  <dataValidations count="19">
    <dataValidation type="list" operator="equal" allowBlank="1" showInputMessage="1" showErrorMessage="1" errorTitle="RVO zu Absetzbetrag:" error="Wert Null oder 364 gefordert!" sqref="F53">
      <formula1>"0,364"</formula1>
    </dataValidation>
    <dataValidation type="list" allowBlank="1" showInputMessage="1" showErrorMessage="1" errorTitle="RVO zu Kinderzuschlag:" error="Eingabe lt. Liste. Die Werte steigen nach Anzahl der Kinder!" sqref="F54">
      <formula1>"0,130,305,525,745,965,1185,1405"</formula1>
    </dataValidation>
    <dataValidation type="decimal" allowBlank="1" showInputMessage="1" showErrorMessage="1" errorTitle="RVO: Fehler zu UV !!!" error="Die Eingabe erfordert einen negativen Wert!" sqref="C40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B14:B32 B81 C76:C77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0">
      <formula1>-99.99</formula1>
      <formula2>0.01</formula2>
    </dataValidation>
    <dataValidation type="decimal" allowBlank="1" showInputMessage="1" showErrorMessage="1" errorTitle="RVO: Fehler zu Einnahme!" error="Werte zwischen Null und 999.999,- erlaubt!" sqref="B3:B10 C79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1">
      <formula1>-40000</formula1>
      <formula2>0</formula2>
    </dataValidation>
    <dataValidation type="decimal" allowBlank="1" showInputMessage="1" showErrorMessage="1" errorTitle="RVO zu SA:" error="Die Eingabe erlaubt einen negativen Wert von -50.000,- bis 0!" sqref="C48">
      <formula1>-50000</formula1>
      <formula2>0</formula2>
    </dataValidation>
    <dataValidation type="decimal" allowBlank="1" showInputMessage="1" showErrorMessage="1" errorTitle="RVO zu Ist-Werte AB" error="Die Eingabe erlaubt einen positiven Wert von 0 bis 40.000!" sqref="E50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47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56">
      <formula1>0</formula1>
      <formula2>2000</formula2>
    </dataValidation>
    <dataValidation type="list" allowBlank="1" showInputMessage="1" showErrorMessage="1" sqref="G50">
      <formula1>"1,2,3,4,5,6,7,8,9,10,11,12,13,14,15,16,17,18,19,20,21,22,23,24,25,26,27,28,29,30,31,32,33,34,35,36,37,38,39,40,41,42,43,44,45,46,47,48,49,50,51,52,53,54,55,56,57,58,59,60,"</formula1>
    </dataValidation>
    <dataValidation type="list" allowBlank="1" showInputMessage="1" showErrorMessage="1" errorTitle="RVO zu Mehrkinderzuschlag:" error="Auswahl auf Vorbelegung &quot;drop down&quot;-Liste beschränkt!" sqref="G47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4">
      <formula1>0</formula1>
    </dataValidation>
    <dataValidation type="decimal" operator="lessThanOrEqual" allowBlank="1" showInputMessage="1" showErrorMessage="1" errorTitle="RVO: Fehler zu KV!" error="Die Eingabe ist auf einen negativen Wert beschränkt!" sqref="D42">
      <formula1>0</formula1>
    </dataValidation>
    <dataValidation type="decimal" operator="lessThanOrEqual" allowBlank="1" showInputMessage="1" showErrorMessage="1" errorTitle="RVO: Fehler zu PV!" error="Die Eingabe ist auf einen negativen Wert beschränkt!" sqref="D41">
      <formula1>0</formula1>
    </dataValidation>
    <dataValidation type="decimal" operator="lessThanOrEqual" allowBlank="1" showInputMessage="1" showErrorMessage="1" errorTitle="RVO: Fehler zu Afg!" error="Die Eingabe ist auf einen negativen Wert beschränkt!" sqref="D43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1:F44">
      <formula1>0</formula1>
    </dataValidation>
    <dataValidation type="decimal" operator="lessThanOrEqual" allowBlank="1" showInputMessage="1" showErrorMessage="1" errorTitle="RVO: Fehler zu FBiG!" error="Nur negative Werte erlaubt!" sqref="C38">
      <formula1>0</formula1>
    </dataValidation>
  </dataValidations>
  <hyperlinks>
    <hyperlink ref="F35" r:id="rId1" display="www.rvo.at"/>
    <hyperlink ref="F60" r:id="rId2" display="www.rvo.at"/>
    <hyperlink ref="F68" r:id="rId3" display="www.rvo.at"/>
    <hyperlink ref="F75" r:id="rId4" display="www.rvo.at"/>
    <hyperlink ref="G41" r:id="rId5" display="http://esv-sva.sozvers.at/portal/index.html?ctrl:cmd=render&amp;ctrl:window=svaportal.channel_content.cmsWindow&amp;p_menuid=59135&amp;p_tabid=5"/>
  </hyperlinks>
  <printOptions horizontalCentered="1" gridLines="1"/>
  <pageMargins left="0.35" right="0.21" top="0.63" bottom="0.59" header="0.33" footer="0.34"/>
  <pageSetup paperSize="9" orientation="portrait" r:id="rId6"/>
  <headerFooter alignWithMargins="0">
    <oddHeader>&amp;L&amp;8&amp;F&amp;C&amp;8&amp;A&amp;R&amp;8&amp;D</oddHeader>
    <oddFooter>&amp;L&amp;8&amp;Z&amp;F&amp;R&amp;8(c) www.rvo.at</oddFooter>
  </headerFooter>
  <rowBreaks count="1" manualBreakCount="1">
    <brk id="59" max="5" man="1"/>
  </rowBreaks>
  <legacy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3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14.4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133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7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7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7" ht="14.4" customHeight="1" thickTop="1">
      <c r="A35" s="10"/>
      <c r="B35" s="11"/>
      <c r="C35" s="13"/>
      <c r="D35" s="12"/>
      <c r="F35" s="13"/>
    </row>
    <row r="36" spans="1:7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7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7">
        <f>ROUND(SUM(C11,C34),2)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7" ht="12.75" customHeight="1">
      <c r="A38" s="3" t="s">
        <v>161</v>
      </c>
      <c r="B38" s="17">
        <f t="shared" ref="B38:B39" si="4">ROUND(C38/12,2)</f>
        <v>0</v>
      </c>
      <c r="C38" s="45"/>
      <c r="D38" s="49">
        <f>ROUND(C38/C37,3)</f>
        <v>0</v>
      </c>
      <c r="E38" s="124" t="s">
        <v>163</v>
      </c>
      <c r="F38" s="6"/>
      <c r="G38" s="312" t="s">
        <v>146</v>
      </c>
    </row>
    <row r="39" spans="1:7" ht="12.75" customHeight="1">
      <c r="A39" s="3" t="s">
        <v>162</v>
      </c>
      <c r="B39" s="17">
        <f t="shared" si="4"/>
        <v>0</v>
      </c>
      <c r="C39" s="45"/>
      <c r="D39" s="49">
        <f>ROUND(C39/C37,3)</f>
        <v>0</v>
      </c>
      <c r="E39" s="124" t="s">
        <v>164</v>
      </c>
      <c r="F39" s="6"/>
    </row>
    <row r="40" spans="1:7" ht="12.75" customHeight="1">
      <c r="A40" s="32" t="s">
        <v>165</v>
      </c>
      <c r="B40" s="309">
        <f>ROUND(SUM(B37:B39),2)</f>
        <v>2320</v>
      </c>
      <c r="C40" s="309">
        <f>ROUND(SUM(C37:C39),2)</f>
        <v>27840</v>
      </c>
      <c r="D40" s="48">
        <f>SUM(D37:D39)</f>
        <v>1</v>
      </c>
      <c r="E40" s="310"/>
      <c r="F40" s="311"/>
    </row>
    <row r="41" spans="1:7">
      <c r="A41" s="16" t="s">
        <v>179</v>
      </c>
      <c r="B41" s="17">
        <f>ROUND(C41/12,2)</f>
        <v>-348</v>
      </c>
      <c r="C41" s="126">
        <f>ROUNDDOWN((MIN(MAX(-4950,C40*D41),0)),2)</f>
        <v>-4176</v>
      </c>
      <c r="D41" s="316">
        <v>-0.15</v>
      </c>
      <c r="E41" s="6"/>
      <c r="F41" s="6"/>
    </row>
    <row r="42" spans="1:7">
      <c r="A42" s="16" t="s">
        <v>96</v>
      </c>
      <c r="B42" s="17">
        <f>ROUND(C42/12,2)</f>
        <v>0</v>
      </c>
      <c r="C42" s="45"/>
      <c r="D42" s="49">
        <f>ROUND(C42/C37,3)</f>
        <v>0</v>
      </c>
      <c r="E42" s="130" t="str">
        <f>CONCATENATE("  max .. ",ROUND(IF(C40&lt;33000,0,IF(C40&lt;178000,C40*0.13-4290,IF(C40&lt;353000,(C40-178000)*0.07+18850,IF(C40&lt;583000,(C40-353000)*0.045+31100,41450)))),2))</f>
        <v xml:space="preserve">  max .. 0</v>
      </c>
      <c r="F42" s="30"/>
    </row>
    <row r="43" spans="1:7">
      <c r="A43" s="16" t="s">
        <v>132</v>
      </c>
      <c r="B43" s="17">
        <f>B31*-1</f>
        <v>680</v>
      </c>
      <c r="C43" s="18">
        <f>ROUND(B43*12,2)</f>
        <v>8160</v>
      </c>
      <c r="D43" s="49">
        <f>ROUND(C43/C37,3)</f>
        <v>0.29299999999999998</v>
      </c>
      <c r="E43" s="6"/>
      <c r="F43" s="6"/>
    </row>
    <row r="44" spans="1:7" outlineLevel="1">
      <c r="A44" s="32" t="s">
        <v>42</v>
      </c>
      <c r="B44" s="47">
        <f>SUM(B40:B43)</f>
        <v>2652</v>
      </c>
      <c r="C44" s="47">
        <f>SUM(C40:C43)</f>
        <v>31824</v>
      </c>
      <c r="D44" s="48">
        <f>ROUND(C44/C37,3)</f>
        <v>1.143</v>
      </c>
      <c r="E44" s="31"/>
      <c r="F44" s="33"/>
    </row>
    <row r="45" spans="1:7" outlineLevel="1">
      <c r="A45" s="117" t="s">
        <v>77</v>
      </c>
      <c r="B45" s="43">
        <v>-11.35</v>
      </c>
      <c r="C45" s="52">
        <f>ROUND(B45*12,2)</f>
        <v>-136.19999999999999</v>
      </c>
      <c r="D45" s="322" t="s">
        <v>43</v>
      </c>
      <c r="E45" s="322"/>
      <c r="F45" s="322"/>
      <c r="G45" s="116" t="s">
        <v>74</v>
      </c>
    </row>
    <row r="46" spans="1:7" outlineLevel="1">
      <c r="A46" s="118" t="s">
        <v>78</v>
      </c>
      <c r="B46" s="52">
        <f>IF(B$44&lt;E46,E46*D46,IF(B$44&gt;F46,F46*D46,B$44*D46))</f>
        <v>-490.62</v>
      </c>
      <c r="C46" s="52">
        <f>B46*12</f>
        <v>-5887.4400000000005</v>
      </c>
      <c r="D46" s="69">
        <v>-0.185</v>
      </c>
      <c r="E46" s="44">
        <v>518.44000000000005</v>
      </c>
      <c r="F46" s="119">
        <v>7070</v>
      </c>
      <c r="G46" s="301" t="s">
        <v>128</v>
      </c>
    </row>
    <row r="47" spans="1:7" ht="13.2" outlineLevel="1">
      <c r="A47" s="117" t="s">
        <v>79</v>
      </c>
      <c r="B47" s="52">
        <f>IF(B$44&lt;E47,E47*D47,IF(B$44&gt;F47,F47*D47,B$44*D47))</f>
        <v>-180.33600000000001</v>
      </c>
      <c r="C47" s="52">
        <f>B47*12</f>
        <v>-2164.0320000000002</v>
      </c>
      <c r="D47" s="69">
        <v>-6.8000000000000005E-2</v>
      </c>
      <c r="E47" s="44">
        <v>518.44000000000005</v>
      </c>
      <c r="F47" s="119">
        <v>7070</v>
      </c>
      <c r="G47" s="115"/>
    </row>
    <row r="48" spans="1:7" ht="13.2" outlineLevel="1">
      <c r="A48" s="117" t="s">
        <v>97</v>
      </c>
      <c r="B48" s="52">
        <f>IF(B$44&lt;E48,E48*D48,IF(B$44&gt;F48,F48*D48,B$44*D48))</f>
        <v>-54.085499999999996</v>
      </c>
      <c r="C48" s="52">
        <f>B48*12</f>
        <v>-649.02599999999995</v>
      </c>
      <c r="D48" s="69">
        <v>-1.5299999999999999E-2</v>
      </c>
      <c r="E48" s="44">
        <v>3535</v>
      </c>
      <c r="F48" s="119">
        <v>3535</v>
      </c>
      <c r="G48" s="115"/>
    </row>
    <row r="49" spans="1:9" outlineLevel="1">
      <c r="A49" s="118" t="s">
        <v>98</v>
      </c>
      <c r="B49" s="52">
        <f>IF(B$44&lt;E49,E49*D49,IF(B$44&gt;F49,F49*D49,B$44*D49))</f>
        <v>-212.1</v>
      </c>
      <c r="C49" s="52">
        <f>B49*12</f>
        <v>-2545.1999999999998</v>
      </c>
      <c r="D49" s="69">
        <v>-0.06</v>
      </c>
      <c r="E49" s="44">
        <v>3535</v>
      </c>
      <c r="F49" s="119">
        <v>3535</v>
      </c>
    </row>
    <row r="50" spans="1:9">
      <c r="A50" s="32" t="s">
        <v>7</v>
      </c>
      <c r="B50" s="47">
        <f>ROUND(SUM(B45:B49),2)</f>
        <v>-948.49</v>
      </c>
      <c r="C50" s="47">
        <f>ROUND(SUM(C45:C49),2)</f>
        <v>-11381.9</v>
      </c>
      <c r="D50" s="48">
        <f>ROUND(C50/C37,3)</f>
        <v>-0.40899999999999997</v>
      </c>
      <c r="E50" s="33"/>
      <c r="F50" s="33"/>
    </row>
    <row r="51" spans="1:9" ht="13.5" customHeight="1">
      <c r="A51" s="70" t="s">
        <v>45</v>
      </c>
      <c r="B51" s="50">
        <f>SUM(B44,B50)</f>
        <v>1703.51</v>
      </c>
      <c r="C51" s="50">
        <f>SUM(C44,C50)</f>
        <v>20442.099999999999</v>
      </c>
      <c r="D51" s="51">
        <f>ROUND(C51/C37,3)</f>
        <v>0.73399999999999999</v>
      </c>
      <c r="E51" s="71" t="s">
        <v>46</v>
      </c>
      <c r="F51" s="71" t="s">
        <v>47</v>
      </c>
      <c r="I51" s="15"/>
    </row>
    <row r="52" spans="1:9" hidden="1">
      <c r="A52" s="308" t="s">
        <v>160</v>
      </c>
      <c r="B52" s="73"/>
      <c r="C52" s="74">
        <v>0</v>
      </c>
      <c r="D52" s="3"/>
      <c r="E52" s="75"/>
      <c r="F52" s="76">
        <v>0</v>
      </c>
      <c r="I52" s="15"/>
    </row>
    <row r="53" spans="1:9" ht="13.2" customHeight="1">
      <c r="A53" s="19" t="s">
        <v>166</v>
      </c>
      <c r="B53" s="19"/>
      <c r="C53" s="45"/>
      <c r="D53" s="16"/>
      <c r="E53" s="120"/>
      <c r="F53" s="21"/>
      <c r="G53" s="312" t="s">
        <v>146</v>
      </c>
      <c r="I53" s="15"/>
    </row>
    <row r="54" spans="1:9" hidden="1" outlineLevel="1">
      <c r="A54" s="19" t="s">
        <v>124</v>
      </c>
      <c r="B54" s="19"/>
      <c r="C54" s="74"/>
      <c r="D54" s="16"/>
      <c r="E54" s="120"/>
      <c r="F54" s="21"/>
      <c r="H54" s="15"/>
      <c r="I54" s="15"/>
    </row>
    <row r="55" spans="1:9" collapsed="1">
      <c r="A55" s="79" t="s">
        <v>50</v>
      </c>
      <c r="B55" s="79"/>
      <c r="C55" s="80">
        <f>ROUND(IF(SUM(C51:C54)&lt;0,0,SUM(C51:C54)),2)</f>
        <v>20442.099999999999</v>
      </c>
      <c r="D55" s="81"/>
      <c r="E55" s="82"/>
      <c r="F55" s="83">
        <f>ROUND(IF(C55&gt;36400,0.12,IF(C55&gt;14600,0.1,IF(C55&gt;7300,0.08,0.06)))-SUM(B71/100,B72/100),3)</f>
        <v>0.1</v>
      </c>
      <c r="G55" s="103"/>
      <c r="H55" s="15"/>
      <c r="I55" s="15"/>
    </row>
    <row r="56" spans="1:9" ht="13.5" customHeight="1">
      <c r="A56" s="84" t="str">
        <f>CONCATENATE("außergew. Belastungen ",F55*-100,"% Selbstbehalt")</f>
        <v>außergew. Belastungen -10% Selbstbehalt</v>
      </c>
      <c r="B56" s="84"/>
      <c r="C56" s="74">
        <f>ROUND(IF(E56&lt;F56,0,(E56-F56)*-1),2)</f>
        <v>0</v>
      </c>
      <c r="D56" s="3"/>
      <c r="E56" s="75"/>
      <c r="F56" s="76">
        <f>ROUND(C55*F55,2)</f>
        <v>2044.21</v>
      </c>
      <c r="G56" s="103"/>
      <c r="H56" s="173"/>
      <c r="I56" s="15"/>
    </row>
    <row r="57" spans="1:9" ht="13.5" customHeight="1">
      <c r="A57" s="22" t="s">
        <v>51</v>
      </c>
      <c r="B57" s="22"/>
      <c r="C57" s="46"/>
      <c r="D57" s="22"/>
      <c r="E57" s="121"/>
      <c r="F57" s="24"/>
      <c r="G57" s="103"/>
      <c r="H57" s="15"/>
      <c r="I57" s="15"/>
    </row>
    <row r="58" spans="1:9" s="20" customFormat="1" ht="12">
      <c r="A58" s="70" t="s">
        <v>188</v>
      </c>
      <c r="B58" s="86">
        <v>1</v>
      </c>
      <c r="C58" s="80">
        <f>ROUND(IF(SUM(C55:C57)&lt;0,0,SUM(C55:C57)),2)</f>
        <v>20442.099999999999</v>
      </c>
      <c r="E58" s="87">
        <f>F58/C58</f>
        <v>-7.4611708190450113E-2</v>
      </c>
      <c r="F58" s="23">
        <f>ROUND(SUM(D60:D66),2)</f>
        <v>-1525.22</v>
      </c>
      <c r="G58" s="315" t="s">
        <v>146</v>
      </c>
      <c r="H58" s="23"/>
    </row>
    <row r="59" spans="1:9" s="20" customFormat="1" ht="3" customHeight="1">
      <c r="A59" s="70"/>
      <c r="B59" s="86"/>
      <c r="C59" s="74"/>
      <c r="E59" s="87"/>
      <c r="F59" s="23"/>
      <c r="G59" s="103"/>
      <c r="H59" s="23"/>
    </row>
    <row r="60" spans="1:9" s="20" customFormat="1">
      <c r="A60" s="131">
        <v>12816</v>
      </c>
      <c r="B60" s="306">
        <v>0</v>
      </c>
      <c r="C60" s="134">
        <f>IF($C$58&gt;A60,A60,$C$58)</f>
        <v>12816</v>
      </c>
      <c r="D60" s="135">
        <f t="shared" ref="D60:D66" si="5">ROUND(B60*C60,4)</f>
        <v>0</v>
      </c>
      <c r="F60" s="23"/>
      <c r="G60" s="170"/>
      <c r="H60" s="23"/>
    </row>
    <row r="61" spans="1:9" s="20" customFormat="1">
      <c r="A61" s="131">
        <v>20818</v>
      </c>
      <c r="B61" s="306">
        <v>-0.2</v>
      </c>
      <c r="C61" s="134">
        <f>IF($C$58&gt;A61,A61-A60,$C$58-C60)</f>
        <v>7626.0999999999985</v>
      </c>
      <c r="D61" s="135">
        <f t="shared" si="5"/>
        <v>-1525.22</v>
      </c>
      <c r="F61" s="23"/>
      <c r="G61" s="170">
        <f>IF(C61&gt;0,B61,"")</f>
        <v>-0.2</v>
      </c>
      <c r="H61" s="23"/>
    </row>
    <row r="62" spans="1:9" s="20" customFormat="1">
      <c r="A62" s="131">
        <v>34513</v>
      </c>
      <c r="B62" s="306">
        <v>-0.3</v>
      </c>
      <c r="C62" s="134">
        <f>IF($C$58&gt;A62,A62-A61,$C$58-SUM($C$60:C61))</f>
        <v>0</v>
      </c>
      <c r="D62" s="135">
        <f t="shared" si="5"/>
        <v>0</v>
      </c>
      <c r="F62" s="23"/>
      <c r="G62" s="170" t="str">
        <f>IF(C62&gt;0,B62-B61,"")</f>
        <v/>
      </c>
      <c r="H62" s="23"/>
    </row>
    <row r="63" spans="1:9" s="20" customFormat="1">
      <c r="A63" s="131">
        <v>66612</v>
      </c>
      <c r="B63" s="306">
        <v>-0.4</v>
      </c>
      <c r="C63" s="134">
        <f>IF($C$58&gt;A63,A63-A62,$C$58-SUM($C$60:C62))</f>
        <v>0</v>
      </c>
      <c r="D63" s="135">
        <f t="shared" si="5"/>
        <v>0</v>
      </c>
      <c r="F63" s="23"/>
      <c r="G63" s="170" t="str">
        <f t="shared" ref="G63:G66" si="6">IF(C63&gt;0,B63-B62,"")</f>
        <v/>
      </c>
      <c r="H63" s="23"/>
    </row>
    <row r="64" spans="1:9" s="20" customFormat="1">
      <c r="A64" s="131">
        <v>99266</v>
      </c>
      <c r="B64" s="306">
        <v>-0.48</v>
      </c>
      <c r="C64" s="134">
        <f>IF($C$58&gt;A64,A64-A63,$C$58-SUM($C$60:C63))</f>
        <v>0</v>
      </c>
      <c r="D64" s="135">
        <f t="shared" si="5"/>
        <v>0</v>
      </c>
      <c r="F64" s="23"/>
      <c r="G64" s="170" t="str">
        <f t="shared" si="6"/>
        <v/>
      </c>
      <c r="H64" s="23"/>
    </row>
    <row r="65" spans="1:8" s="20" customFormat="1">
      <c r="A65" s="131">
        <v>1000000</v>
      </c>
      <c r="B65" s="306">
        <v>-0.5</v>
      </c>
      <c r="C65" s="134">
        <f>IF($C$58&gt;A65,A65-A64,$C$58-SUM($C$60:C64))</f>
        <v>0</v>
      </c>
      <c r="D65" s="135">
        <f t="shared" si="5"/>
        <v>0</v>
      </c>
      <c r="F65" s="23"/>
      <c r="G65" s="170" t="str">
        <f t="shared" si="6"/>
        <v/>
      </c>
      <c r="H65" s="23"/>
    </row>
    <row r="66" spans="1:8" s="20" customFormat="1">
      <c r="A66" s="133"/>
      <c r="B66" s="306">
        <v>-0.55000000000000004</v>
      </c>
      <c r="C66" s="134">
        <f>$C$58-SUM($C$60:C65)</f>
        <v>0</v>
      </c>
      <c r="D66" s="135">
        <f t="shared" si="5"/>
        <v>0</v>
      </c>
      <c r="F66" s="23"/>
      <c r="G66" s="170" t="str">
        <f t="shared" si="6"/>
        <v/>
      </c>
      <c r="H66" s="23"/>
    </row>
    <row r="67" spans="1:8" s="20" customFormat="1" ht="1.8" customHeight="1">
      <c r="A67" s="70"/>
      <c r="B67" s="86"/>
      <c r="C67" s="74"/>
      <c r="E67" s="87"/>
      <c r="F67" s="23"/>
      <c r="G67" s="103"/>
      <c r="H67" s="23"/>
    </row>
    <row r="68" spans="1:8" s="20" customFormat="1">
      <c r="A68" s="64" t="s">
        <v>171</v>
      </c>
      <c r="B68" s="88">
        <v>0</v>
      </c>
      <c r="C68" s="74"/>
      <c r="E68" s="87">
        <f t="shared" ref="E68:E71" si="7">F68/C$58</f>
        <v>0</v>
      </c>
      <c r="F68" s="90"/>
      <c r="G68" s="103"/>
      <c r="H68" s="173"/>
    </row>
    <row r="69" spans="1:8" s="20" customFormat="1">
      <c r="A69" s="64" t="s">
        <v>172</v>
      </c>
      <c r="B69" s="88">
        <v>0</v>
      </c>
      <c r="C69" s="74"/>
      <c r="E69" s="87">
        <f t="shared" si="7"/>
        <v>0</v>
      </c>
      <c r="F69" s="90"/>
      <c r="G69" s="103"/>
      <c r="H69" s="23"/>
    </row>
    <row r="70" spans="1:8" s="20" customFormat="1" hidden="1">
      <c r="A70" s="174" t="s">
        <v>53</v>
      </c>
      <c r="B70" s="86"/>
      <c r="C70" s="74"/>
      <c r="E70" s="87"/>
      <c r="F70" s="175">
        <f>ROUND(IF(SUM(F58,F68)&gt;0,F69,SUM(F58,F68:F69)),2)</f>
        <v>-1525.22</v>
      </c>
      <c r="G70" s="103"/>
      <c r="H70" s="23"/>
    </row>
    <row r="71" spans="1:8" s="20" customFormat="1">
      <c r="A71" s="64" t="s">
        <v>8</v>
      </c>
      <c r="B71" s="313"/>
      <c r="C71" s="124" t="s">
        <v>167</v>
      </c>
      <c r="E71" s="87">
        <f t="shared" si="7"/>
        <v>0</v>
      </c>
      <c r="F71" s="74">
        <f>IF(ISBLANK(B71),0,IF(B71=1,572,IF(B71=2,774,1029)))</f>
        <v>0</v>
      </c>
      <c r="G71" s="72" t="str">
        <f>IF(B71&gt;2,"MKZ","")</f>
        <v/>
      </c>
      <c r="H71" s="176" t="str">
        <f>IF(G71="MKZ","Info zum Mehrkindzuschlag (MKZ) seit 2011","")</f>
        <v/>
      </c>
    </row>
    <row r="72" spans="1:8" s="20" customFormat="1">
      <c r="A72" s="19" t="s">
        <v>52</v>
      </c>
      <c r="B72" s="313"/>
      <c r="C72" s="314" t="s">
        <v>168</v>
      </c>
      <c r="D72" s="19"/>
      <c r="E72" s="87">
        <f>F72/C$58</f>
        <v>0</v>
      </c>
      <c r="F72" s="74">
        <f>IF(ISBLANK(B72),0,B72*255)</f>
        <v>0</v>
      </c>
      <c r="G72" s="77"/>
    </row>
    <row r="73" spans="1:8" s="20" customFormat="1" ht="13.2" hidden="1" customHeight="1">
      <c r="A73" s="79" t="s">
        <v>53</v>
      </c>
      <c r="B73" s="79"/>
      <c r="C73" s="80"/>
      <c r="D73" s="79"/>
      <c r="E73" s="91"/>
      <c r="F73" s="80">
        <f>ROUND(SUM(F70:F72),2)</f>
        <v>-1525.22</v>
      </c>
      <c r="G73" s="100" t="str">
        <f>IF(G72="inkl. MKZ für",IF(ISBLANK(G74),ROUND((SUM(B71,B72)-2)*12,0),""),"")</f>
        <v/>
      </c>
    </row>
    <row r="74" spans="1:8" s="20" customFormat="1" ht="12.6" customHeight="1">
      <c r="A74" s="25" t="s">
        <v>54</v>
      </c>
      <c r="B74" s="92">
        <f>IF(F74&gt;0,1,0)</f>
        <v>0</v>
      </c>
      <c r="C74" s="74"/>
      <c r="E74" s="87">
        <f>F74/C$58</f>
        <v>0</v>
      </c>
      <c r="F74" s="90"/>
      <c r="G74" s="102"/>
      <c r="H74" s="173"/>
    </row>
    <row r="75" spans="1:8" s="20" customFormat="1">
      <c r="A75" s="93" t="str">
        <f>IF(F75&lt;=0,"Einkommensteuer (ESt) des Jahres","ESt-Gutschrift aus Negativsteuer")</f>
        <v>Einkommensteuer (ESt) des Jahres</v>
      </c>
      <c r="B75" s="93"/>
      <c r="C75" s="80">
        <f>F75</f>
        <v>-1525</v>
      </c>
      <c r="D75" s="51">
        <f>ROUND(C75/C37,3)</f>
        <v>-5.5E-2</v>
      </c>
      <c r="E75" s="91">
        <f>SUM(E58:E74)</f>
        <v>-7.4611708190450113E-2</v>
      </c>
      <c r="F75" s="80">
        <f>ROUND(IF(F73&gt;0,F73,IF(SUM(F73:F74)&gt;0,0,SUM(F73:F74))),0)</f>
        <v>-1525</v>
      </c>
      <c r="G75" s="74" t="str">
        <f>IF(G72="inkl. MKZ für",IF(SUM(B71:B72)&gt;2,IF(ISBLANK(G74),ROUND(G73*23.3,2),ROUND(G74*23.3,2)),""),"")</f>
        <v/>
      </c>
    </row>
    <row r="76" spans="1:8" s="20" customFormat="1" ht="13.5" customHeight="1" thickBot="1">
      <c r="A76" s="94" t="s">
        <v>186</v>
      </c>
      <c r="B76" s="95"/>
      <c r="C76" s="96">
        <f>SUM(C58,C75)</f>
        <v>18917.099999999999</v>
      </c>
      <c r="D76" s="122">
        <f>ROUND(C76/C37,3)</f>
        <v>0.67900000000000005</v>
      </c>
      <c r="E76" s="323" t="str">
        <f>IF(C58&lt;=A60,"",CONCATENATE(" (Grenzsteuersatz .. ",SUM(G61:G66)*-100," %)"))</f>
        <v xml:space="preserve"> (Grenzsteuersatz .. 20 %)</v>
      </c>
      <c r="F76" s="323"/>
    </row>
    <row r="77" spans="1:8" s="20" customFormat="1" ht="29.25" customHeight="1" thickTop="1">
      <c r="A77" s="26"/>
      <c r="B77" s="26"/>
      <c r="C77" s="27"/>
      <c r="D77" s="27"/>
      <c r="E77" s="27"/>
      <c r="F77" s="39"/>
    </row>
    <row r="78" spans="1:8" ht="12">
      <c r="A78" s="1" t="s">
        <v>63</v>
      </c>
      <c r="B78" s="2" t="s">
        <v>0</v>
      </c>
      <c r="C78" s="2" t="s">
        <v>1</v>
      </c>
      <c r="D78" s="34" t="s">
        <v>4</v>
      </c>
      <c r="E78" s="35"/>
      <c r="F78" s="104" t="s">
        <v>58</v>
      </c>
    </row>
    <row r="79" spans="1:8">
      <c r="A79" s="4" t="s">
        <v>5</v>
      </c>
      <c r="B79" s="53">
        <f>ROUND(B11,2)</f>
        <v>3000</v>
      </c>
      <c r="C79" s="18">
        <f>B79*12</f>
        <v>36000</v>
      </c>
      <c r="D79" s="57">
        <v>1</v>
      </c>
    </row>
    <row r="80" spans="1:8">
      <c r="A80" s="4" t="s">
        <v>92</v>
      </c>
      <c r="B80" s="54">
        <f>ROUND(SUM(B14:B16,B18:B23,B25:B30,B32:B33),2)</f>
        <v>0</v>
      </c>
      <c r="C80" s="18">
        <f>B80*12</f>
        <v>0</v>
      </c>
      <c r="D80" s="57">
        <f>ROUND(B80/B79,3)</f>
        <v>0</v>
      </c>
    </row>
    <row r="81" spans="1:6">
      <c r="A81" s="16" t="s">
        <v>7</v>
      </c>
      <c r="B81" s="53">
        <f>ROUND(B50,2)</f>
        <v>-948.49</v>
      </c>
      <c r="C81" s="18">
        <f>B81*12</f>
        <v>-11381.880000000001</v>
      </c>
      <c r="D81" s="57">
        <f>ROUND(B81/B79,3)</f>
        <v>-0.316</v>
      </c>
      <c r="E81" s="123" t="str">
        <f>CONCATENATE(" (davon  ",ROUND(SUM(C43,C81),2)," Nachforderung)")</f>
        <v xml:space="preserve"> (davon  -3221,88 Nachforderung)</v>
      </c>
    </row>
    <row r="82" spans="1:6">
      <c r="A82" s="4" t="s">
        <v>187</v>
      </c>
      <c r="B82" s="53">
        <f>ROUND(C75/12,2)</f>
        <v>-127.08</v>
      </c>
      <c r="C82" s="18">
        <f>B82*12</f>
        <v>-1524.96</v>
      </c>
      <c r="D82" s="57">
        <f>ROUND(B82/B79,3)</f>
        <v>-4.2000000000000003E-2</v>
      </c>
    </row>
    <row r="83" spans="1:6" ht="12" thickBot="1">
      <c r="A83" s="8" t="s">
        <v>55</v>
      </c>
      <c r="B83" s="55">
        <f>ROUND(SUM(B79:B82),2)</f>
        <v>1924.43</v>
      </c>
      <c r="C83" s="28">
        <f>B83*12</f>
        <v>23093.16</v>
      </c>
      <c r="D83" s="58">
        <f>ROUND(B83/B79,4)</f>
        <v>0.64149999999999996</v>
      </c>
      <c r="E83" s="38"/>
      <c r="F83" s="37"/>
    </row>
    <row r="84" spans="1:6" ht="12.6" thickTop="1" thickBot="1">
      <c r="A84" s="29" t="s">
        <v>56</v>
      </c>
      <c r="B84" s="56">
        <f>ROUND(B83*12/14,2)</f>
        <v>1649.51</v>
      </c>
      <c r="C84" s="97"/>
      <c r="D84" s="98"/>
      <c r="E84" s="99"/>
      <c r="F84" s="99"/>
    </row>
    <row r="85" spans="1:6" s="20" customFormat="1" ht="25.5" customHeight="1" thickTop="1">
      <c r="A85" s="26"/>
      <c r="B85" s="26"/>
      <c r="C85" s="27"/>
      <c r="D85" s="27"/>
      <c r="E85" s="27"/>
      <c r="F85" s="39"/>
    </row>
    <row r="86" spans="1:6" ht="13.2">
      <c r="A86" s="108" t="s">
        <v>64</v>
      </c>
      <c r="B86" s="2" t="s">
        <v>0</v>
      </c>
      <c r="C86" s="2" t="s">
        <v>1</v>
      </c>
      <c r="D86" s="34"/>
      <c r="E86" s="35"/>
      <c r="F86" s="104" t="s">
        <v>58</v>
      </c>
    </row>
    <row r="87" spans="1:6" ht="13.5" customHeight="1">
      <c r="A87" s="20" t="s">
        <v>59</v>
      </c>
      <c r="B87" s="105">
        <f>C87/12</f>
        <v>2051.5083333333332</v>
      </c>
      <c r="C87" s="105">
        <f>C11+C34+C50-C17-C31-C33</f>
        <v>24618.1</v>
      </c>
    </row>
    <row r="88" spans="1:6">
      <c r="A88" s="20" t="s">
        <v>60</v>
      </c>
      <c r="B88" s="105">
        <f>C88/12</f>
        <v>0</v>
      </c>
      <c r="C88" s="105">
        <f>C33</f>
        <v>0</v>
      </c>
    </row>
    <row r="89" spans="1:6">
      <c r="A89" s="93" t="s">
        <v>61</v>
      </c>
      <c r="B89" s="80">
        <f>SUM(B87:B88)</f>
        <v>2051.5083333333332</v>
      </c>
      <c r="C89" s="80">
        <f>SUM(C87:C88)</f>
        <v>24618.1</v>
      </c>
    </row>
    <row r="90" spans="1:6">
      <c r="A90" s="20" t="s">
        <v>62</v>
      </c>
      <c r="B90" s="105">
        <f>C90/12</f>
        <v>0</v>
      </c>
      <c r="C90" s="105">
        <f>C17</f>
        <v>0</v>
      </c>
    </row>
    <row r="91" spans="1:6" ht="12" thickBot="1">
      <c r="A91" s="106" t="str">
        <f>IF(C91&lt;0,"   V e r l u s t","   G e w i n n   ( Überschuß)")</f>
        <v xml:space="preserve">   G e w i n n   ( Überschuß)</v>
      </c>
      <c r="B91" s="107">
        <f>ROUND(SUM(B89:B90),2)</f>
        <v>2051.5100000000002</v>
      </c>
      <c r="C91" s="107">
        <f>ROUND(SUM(C89:C90),2)</f>
        <v>24618.1</v>
      </c>
      <c r="D91" s="109"/>
      <c r="E91" s="37"/>
      <c r="F91" s="37"/>
    </row>
    <row r="92" spans="1:6" s="20" customFormat="1" ht="25.5" customHeight="1" thickTop="1">
      <c r="A92" s="26"/>
      <c r="B92" s="26"/>
      <c r="C92" s="27"/>
      <c r="D92" s="27"/>
      <c r="E92" s="27"/>
      <c r="F92" s="39"/>
    </row>
    <row r="93" spans="1:6" ht="13.2">
      <c r="A93" s="108" t="s">
        <v>65</v>
      </c>
      <c r="B93" s="2" t="s">
        <v>0</v>
      </c>
      <c r="C93" s="2" t="s">
        <v>1</v>
      </c>
      <c r="D93" s="34"/>
      <c r="E93" s="35"/>
      <c r="F93" s="104" t="s">
        <v>58</v>
      </c>
    </row>
    <row r="94" spans="1:6" ht="12.75" customHeight="1">
      <c r="A94" s="4" t="s">
        <v>66</v>
      </c>
      <c r="C94" s="113"/>
    </row>
    <row r="95" spans="1:6">
      <c r="A95" s="110" t="s">
        <v>67</v>
      </c>
      <c r="B95" s="111"/>
      <c r="C95" s="46"/>
    </row>
    <row r="96" spans="1:6" ht="14.25" customHeight="1">
      <c r="A96" s="4" t="s">
        <v>68</v>
      </c>
      <c r="C96" s="18">
        <f>SUM(C94:C95)</f>
        <v>0</v>
      </c>
    </row>
    <row r="97" spans="1:9">
      <c r="A97" s="110" t="s">
        <v>69</v>
      </c>
      <c r="B97" s="111"/>
      <c r="C97" s="46"/>
      <c r="D97" s="114"/>
      <c r="E97" s="112">
        <f>SUM(C96:C97)</f>
        <v>0</v>
      </c>
    </row>
    <row r="98" spans="1:9" ht="17.25" customHeight="1">
      <c r="A98" s="4" t="s">
        <v>70</v>
      </c>
      <c r="B98" s="18">
        <f>C98/12</f>
        <v>1924.43</v>
      </c>
      <c r="C98" s="18">
        <f>C83</f>
        <v>23093.16</v>
      </c>
    </row>
    <row r="99" spans="1:9">
      <c r="A99" s="110" t="s">
        <v>71</v>
      </c>
      <c r="B99" s="46"/>
      <c r="C99" s="112">
        <f>B99*12</f>
        <v>0</v>
      </c>
      <c r="D99" s="114"/>
      <c r="E99" s="112">
        <f>SUM(C98:C99)</f>
        <v>23093.16</v>
      </c>
    </row>
    <row r="100" spans="1:9" ht="13.5" customHeight="1">
      <c r="A100" s="4" t="s">
        <v>72</v>
      </c>
      <c r="B100" s="18">
        <f>C100/12</f>
        <v>0</v>
      </c>
      <c r="C100" s="113"/>
      <c r="E100" s="18">
        <f>C100</f>
        <v>0</v>
      </c>
    </row>
    <row r="101" spans="1:9" ht="15" customHeight="1" thickBot="1">
      <c r="A101" s="106" t="str">
        <f>IF(C101&lt;0,"   U n t e r d e c k u n g   gesamt","   Ü b e r d e c k u n g   gesamt")</f>
        <v xml:space="preserve">   Ü b e r d e c k u n g   gesamt</v>
      </c>
      <c r="B101" s="9"/>
      <c r="C101" s="28">
        <f>SUM(C96:C100)</f>
        <v>23093.16</v>
      </c>
      <c r="D101" s="109"/>
      <c r="E101" s="28">
        <f>SUM(E97:E100)</f>
        <v>23093.16</v>
      </c>
      <c r="F101" s="37"/>
    </row>
    <row r="102" spans="1:9" s="20" customFormat="1" ht="25.5" customHeight="1" thickTop="1">
      <c r="A102" s="26"/>
      <c r="B102" s="26"/>
      <c r="C102" s="27"/>
      <c r="D102" s="27"/>
      <c r="E102" s="27"/>
      <c r="F102" s="39"/>
    </row>
    <row r="103" spans="1:9">
      <c r="C103" s="5"/>
    </row>
    <row r="104" spans="1:9">
      <c r="C104" s="5"/>
    </row>
    <row r="105" spans="1:9">
      <c r="C105" s="5"/>
    </row>
    <row r="106" spans="1:9">
      <c r="C106" s="5"/>
    </row>
    <row r="107" spans="1:9">
      <c r="C107" s="5"/>
    </row>
    <row r="108" spans="1:9">
      <c r="C108" s="5"/>
    </row>
    <row r="109" spans="1:9">
      <c r="C109" s="5"/>
    </row>
    <row r="110" spans="1:9">
      <c r="C110" s="5"/>
    </row>
    <row r="111" spans="1:9">
      <c r="C111" s="5"/>
    </row>
    <row r="112" spans="1:9" s="7" customFormat="1">
      <c r="A112" s="4"/>
      <c r="B112" s="5"/>
      <c r="C112" s="5"/>
      <c r="E112" s="3"/>
      <c r="F112" s="3"/>
      <c r="G112" s="3"/>
      <c r="H112" s="3"/>
      <c r="I112" s="3"/>
    </row>
    <row r="113" spans="1:9" s="7" customFormat="1">
      <c r="A113" s="4"/>
      <c r="B113" s="5"/>
      <c r="C113" s="5"/>
      <c r="E113" s="3"/>
      <c r="F113" s="3"/>
      <c r="G113" s="3"/>
      <c r="H113" s="3"/>
      <c r="I113" s="3"/>
    </row>
    <row r="114" spans="1:9" s="7" customFormat="1">
      <c r="A114" s="4"/>
      <c r="B114" s="5"/>
      <c r="C114" s="5"/>
      <c r="E114" s="3"/>
      <c r="F114" s="3"/>
      <c r="G114" s="3"/>
      <c r="H114" s="3"/>
      <c r="I114" s="3"/>
    </row>
    <row r="115" spans="1:9" s="7" customFormat="1">
      <c r="A115" s="4"/>
      <c r="B115" s="5"/>
      <c r="C115" s="5"/>
      <c r="E115" s="3"/>
      <c r="F115" s="3"/>
      <c r="G115" s="3"/>
      <c r="H115" s="3"/>
      <c r="I115" s="3"/>
    </row>
    <row r="116" spans="1:9" s="7" customFormat="1">
      <c r="A116" s="4"/>
      <c r="B116" s="5"/>
      <c r="C116" s="5"/>
      <c r="E116" s="3"/>
      <c r="F116" s="3"/>
      <c r="G116" s="3"/>
      <c r="H116" s="3"/>
      <c r="I116" s="3"/>
    </row>
    <row r="117" spans="1:9" s="7" customFormat="1">
      <c r="A117" s="4"/>
      <c r="B117" s="5"/>
      <c r="C117" s="5"/>
      <c r="E117" s="3"/>
      <c r="F117" s="3"/>
      <c r="G117" s="3"/>
      <c r="H117" s="3"/>
      <c r="I117" s="3"/>
    </row>
    <row r="118" spans="1:9" s="7" customFormat="1">
      <c r="A118" s="4"/>
      <c r="B118" s="5"/>
      <c r="C118" s="5"/>
      <c r="E118" s="3"/>
      <c r="F118" s="3"/>
      <c r="G118" s="3"/>
      <c r="H118" s="3"/>
      <c r="I118" s="3"/>
    </row>
    <row r="119" spans="1:9" s="7" customFormat="1">
      <c r="A119" s="4"/>
      <c r="B119" s="5"/>
      <c r="C119" s="5"/>
      <c r="E119" s="3"/>
      <c r="F119" s="3"/>
      <c r="G119" s="3"/>
      <c r="H119" s="3"/>
      <c r="I119" s="3"/>
    </row>
    <row r="120" spans="1:9" s="7" customFormat="1">
      <c r="A120" s="4"/>
      <c r="B120" s="5"/>
      <c r="C120" s="5"/>
      <c r="E120" s="3"/>
      <c r="F120" s="3"/>
      <c r="G120" s="3"/>
      <c r="H120" s="3"/>
      <c r="I120" s="3"/>
    </row>
    <row r="121" spans="1:9" s="7" customFormat="1">
      <c r="A121" s="4"/>
      <c r="B121" s="5"/>
      <c r="C121" s="5"/>
      <c r="E121" s="3"/>
      <c r="F121" s="3"/>
      <c r="G121" s="3"/>
      <c r="H121" s="3"/>
      <c r="I121" s="3"/>
    </row>
    <row r="122" spans="1:9" s="7" customFormat="1">
      <c r="A122" s="4"/>
      <c r="B122" s="5"/>
      <c r="C122" s="5"/>
      <c r="E122" s="3"/>
      <c r="F122" s="3"/>
      <c r="G122" s="3"/>
      <c r="H122" s="3"/>
      <c r="I122" s="3"/>
    </row>
    <row r="123" spans="1:9" s="7" customFormat="1">
      <c r="A123" s="4"/>
      <c r="B123" s="5"/>
      <c r="C123" s="5"/>
      <c r="E123" s="3"/>
      <c r="F123" s="3"/>
      <c r="G123" s="3"/>
      <c r="H123" s="3"/>
      <c r="I123" s="3"/>
    </row>
  </sheetData>
  <sheetProtection autoFilter="0"/>
  <mergeCells count="4">
    <mergeCell ref="A1:D1"/>
    <mergeCell ref="E1:F1"/>
    <mergeCell ref="D45:F45"/>
    <mergeCell ref="E76:F76"/>
  </mergeCells>
  <conditionalFormatting sqref="G72">
    <cfRule type="expression" dxfId="235" priority="3" stopIfTrue="1">
      <formula>AND(B71&gt;2)</formula>
    </cfRule>
  </conditionalFormatting>
  <conditionalFormatting sqref="G75">
    <cfRule type="expression" dxfId="234" priority="4" stopIfTrue="1">
      <formula>AND(B71&gt;2)</formula>
    </cfRule>
  </conditionalFormatting>
  <conditionalFormatting sqref="G71">
    <cfRule type="expression" dxfId="233" priority="5" stopIfTrue="1">
      <formula>AND(B71&gt;2)</formula>
    </cfRule>
  </conditionalFormatting>
  <conditionalFormatting sqref="G73">
    <cfRule type="expression" dxfId="232" priority="6" stopIfTrue="1">
      <formula>AND(B71&gt;2)</formula>
    </cfRule>
  </conditionalFormatting>
  <conditionalFormatting sqref="E81">
    <cfRule type="expression" dxfId="231" priority="7" stopIfTrue="1">
      <formula>SUM(C43,C81)&lt;0</formula>
    </cfRule>
  </conditionalFormatting>
  <conditionalFormatting sqref="D41">
    <cfRule type="cellIs" dxfId="230" priority="8" stopIfTrue="1" operator="notBetween">
      <formula>0</formula>
      <formula>-0.15</formula>
    </cfRule>
  </conditionalFormatting>
  <conditionalFormatting sqref="F68">
    <cfRule type="expression" dxfId="229" priority="2">
      <formula>AND(SUM($F$58,$F$68)&gt;0)</formula>
    </cfRule>
  </conditionalFormatting>
  <conditionalFormatting sqref="G74">
    <cfRule type="expression" dxfId="228" priority="1" stopIfTrue="1">
      <formula>AND(B71&gt;2)</formula>
    </cfRule>
  </conditionalFormatting>
  <dataValidations count="27">
    <dataValidation type="list" allowBlank="1" showInputMessage="1" showErrorMessage="1" sqref="D41">
      <mc:AlternateContent xmlns:x12ac="http://schemas.microsoft.com/office/spreadsheetml/2011/1/ac" xmlns:mc="http://schemas.openxmlformats.org/markup-compatibility/2006">
        <mc:Choice Requires="x12ac">
          <x12ac:list>"-0,15",0</x12ac:list>
        </mc:Choice>
        <mc:Fallback>
          <formula1>"-0,15,0"</formula1>
        </mc:Fallback>
      </mc:AlternateContent>
    </dataValidation>
    <dataValidation type="whole" allowBlank="1" showInputMessage="1" showErrorMessage="1" sqref="B72">
      <formula1>0</formula1>
      <formula2>15</formula2>
    </dataValidation>
    <dataValidation type="list" allowBlank="1" showInputMessage="1" showErrorMessage="1" sqref="B71">
      <formula1>"1,2,3"</formula1>
    </dataValidation>
    <dataValidation type="decimal" allowBlank="1" showInputMessage="1" showErrorMessage="1" errorTitle="Eingabefehler zu IFB 15%" error="Eingaben von -,- bis (Minus) -150.000,- möglich!" sqref="C39">
      <formula1>-150000</formula1>
      <formula2>0</formula2>
    </dataValidation>
    <dataValidation type="decimal" allowBlank="1" showInputMessage="1" showErrorMessage="1" errorTitle="Eingabefehler zu IFB 10%" error="Eingaben von -,- bis (Minus) -100.000,- möglich!" sqref="C38">
      <formula1>-100000</formula1>
      <formula2>0</formula2>
    </dataValidation>
    <dataValidation type="decimal" allowBlank="1" showInputMessage="1" showErrorMessage="1" sqref="F69">
      <formula1>0</formula1>
      <formula2>2499</formula2>
    </dataValidation>
    <dataValidation type="decimal" allowBlank="1" showInputMessage="1" showErrorMessage="1" sqref="F68">
      <formula1>0</formula1>
      <formula2>14999</formula2>
    </dataValidation>
    <dataValidation type="decimal" allowBlank="1" showInputMessage="1" showErrorMessage="1" errorTitle="RVO: Fehler zu Grundfreibetrag!" error="Nur negative Werte bis Min -3.900,- erlaubt!" sqref="C41">
      <formula1>-4950</formula1>
      <formula2>0</formula2>
    </dataValidation>
    <dataValidation type="decimal" allowBlank="1" showInputMessage="1" showErrorMessage="1" errorTitle="RVO: Fehler zu FBiG!" error="Nur negative Werte erlaubt!_x000a_GFB total max 13% d. Gewinns!" sqref="C42">
      <formula1>(C37-30000)*-0.13</formula1>
      <formula2>0</formula2>
    </dataValidation>
    <dataValidation type="decimal" operator="greaterThanOrEqual" allowBlank="1" showInputMessage="1" showErrorMessage="1" errorTitle="RVO: Fehler zur Bemessung!" error="Die Eingabe ist auf einen positiven Wert beschränkt!" sqref="E46:F49">
      <formula1>0</formula1>
    </dataValidation>
    <dataValidation type="decimal" operator="lessThanOrEqual" allowBlank="1" showInputMessage="1" showErrorMessage="1" errorTitle="RVO: Fehler zu Afg!" error="Die Eingabe ist auf einen negativen Wert beschränkt!" sqref="D48">
      <formula1>0</formula1>
    </dataValidation>
    <dataValidation type="decimal" operator="lessThanOrEqual" allowBlank="1" showInputMessage="1" showErrorMessage="1" errorTitle="RVO: Fehler zu PV!" error="Die Eingabe ist auf einen negativen Wert beschränkt!" sqref="D46">
      <formula1>0</formula1>
    </dataValidation>
    <dataValidation type="decimal" operator="lessThanOrEqual" allowBlank="1" showInputMessage="1" showErrorMessage="1" errorTitle="RVO: Fehler zu KV!" error="Die Eingabe ist auf einen negativen Wert beschränkt!" sqref="D47">
      <formula1>0</formula1>
    </dataValidation>
    <dataValidation type="decimal" operator="lessThanOrEqual" allowBlank="1" showInputMessage="1" showErrorMessage="1" errorTitle="RVO: Fehler zu Alv!" error="Die Eingabe ist auf einen negativen Wert beschränkt!" sqref="D49">
      <formula1>0</formula1>
    </dataValidation>
    <dataValidation type="list" allowBlank="1" showInputMessage="1" showErrorMessage="1" errorTitle="RVO zu Mehrkinderzuschlag:" error="Auswahl auf Vorbelegung &quot;drop down&quot;-Liste beschränkt!" sqref="G72">
      <formula1>"inkl. MKZ für, ohne MKZ"</formula1>
    </dataValidation>
    <dataValidation type="decimal" allowBlank="1" showInputMessage="1" showErrorMessage="1" errorTitle="RVO zu Unterhaltsabsetzbetrag:" error="Eingabe derzeit auf 0 bis 2.000,- beschränkt!" sqref="F74">
      <formula1>0</formula1>
      <formula2>2000</formula2>
    </dataValidation>
    <dataValidation type="decimal" allowBlank="1" showInputMessage="1" showErrorMessage="1" errorTitle="RVO zu Ist-Werte SA" error="Die Eingabe erlaubt einen positiven Wert von 0 bis 15.000!" sqref="E52:E53">
      <formula1>0</formula1>
      <formula2>15000</formula2>
    </dataValidation>
    <dataValidation type="decimal" allowBlank="1" showInputMessage="1" showErrorMessage="1" errorTitle="RVO zu Ist-Werte AB" error="Die Eingabe erlaubt einen positiven Wert von 0 bis 40.000!" sqref="E56">
      <formula1>0</formula1>
      <formula2>40000</formula2>
    </dataValidation>
    <dataValidation type="decimal" allowBlank="1" showInputMessage="1" showErrorMessage="1" errorTitle="RVO zu KiFB:" error="Die Eingabe erlaubt einen negativen Wert von -2200,- bis 0!" sqref="C54">
      <formula1>-3080</formula1>
      <formula2>0</formula2>
    </dataValidation>
    <dataValidation type="decimal" allowBlank="1" showInputMessage="1" showErrorMessage="1" errorTitle="RVO zu AB:" error="Die Eingabe erlaubt einen negativen Wert von -40.000,- bis 0!" sqref="C57">
      <formula1>-40000</formula1>
      <formula2>0</formula2>
    </dataValidation>
    <dataValidation type="decimal" allowBlank="1" showInputMessage="1" showErrorMessage="1" errorTitle="RVO: Fehler zu Einnahme!" error="Werte zwischen Null und 999.999,- erlaubt!" sqref="C97 B3:B10">
      <formula1>0</formula1>
      <formula2>999999</formula2>
    </dataValidation>
    <dataValidation type="decimal" allowBlank="1" showInputMessage="1" showErrorMessage="1" errorTitle="RVO: Fehler zu UV!" error="Die Eingabe erfordert einen negativen Wert._x000a_Derzeit sind Werte von -99,99 bis 0 zulässig." sqref="B45">
      <formula1>-99.99</formula1>
      <formula2>0.01</formula2>
    </dataValidation>
    <dataValidation type="decimal" allowBlank="1" showInputMessage="1" showErrorMessage="1" errorTitle="RVO: Fehler zu Ausgabe!" error="Nur negative Werte zwischen Null und &quot;Minus&quot;  -999.999,- erlaubt!" sqref="C94:C95 B99 B14:B33">
      <formula1>-999999</formula1>
      <formula2>0</formula2>
    </dataValidation>
    <dataValidation type="decimal" allowBlank="1" showInputMessage="1" showErrorMessage="1" errorTitle="RVO: Fehler zu UV !!!" error="Die Eingabe erfordert einen negativen Wert!" sqref="C45">
      <formula1>-300</formula1>
      <formula2>0</formula2>
    </dataValidation>
    <dataValidation allowBlank="1" showInputMessage="1" showErrorMessage="1" errorTitle="RVO zu Kinderzuschlag:" error="Eingabe lt. Liste. Die Werte steigen nach Anzahl der Kinder!" sqref="F72"/>
    <dataValidation operator="equal" allowBlank="1" showInputMessage="1" showErrorMessage="1" errorTitle="RVO zu Absetzbetrag:" error="Wert Null oder 364 gefordert!" sqref="F71"/>
    <dataValidation type="list" allowBlank="1" showInputMessage="1" showErrorMessage="1" sqref="G74">
      <formula1>"1,2,3,4,5,6,7,8,9,10,11,12,13,14,15,16,17,18,19,20,21,22,23,24,25,26,27,28,29,30,31,32,33,34,35,36,37,38,39,40,41,42,43,44,45,46,47,48,49,50,51,52,53,54,55,56,57,58,59,60,"</formula1>
    </dataValidation>
  </dataValidations>
  <hyperlinks>
    <hyperlink ref="F36" r:id="rId1" display="www.rvo.at"/>
    <hyperlink ref="F78" r:id="rId2" display="www.rvo.at"/>
    <hyperlink ref="F86" r:id="rId3" display="www.rvo.at"/>
    <hyperlink ref="F93" r:id="rId4" display="www.rvo.at"/>
    <hyperlink ref="G46" r:id="rId5"/>
    <hyperlink ref="H71" r:id="rId6" display="https://www.frauen-familien-jugend.bka.gv.at/familie/finanzielle-unterstuetzungen/mehrkindzuschlag.html"/>
    <hyperlink ref="G53" r:id="rId7"/>
    <hyperlink ref="G38" r:id="rId8"/>
    <hyperlink ref="G58" r:id="rId9"/>
  </hyperlinks>
  <printOptions horizontalCentered="1" gridLines="1"/>
  <pageMargins left="0.35433070866141736" right="0.19685039370078741" top="0.47244094488188981" bottom="0.47244094488188981" header="0.23622047244094491" footer="0.23622047244094491"/>
  <pageSetup paperSize="9" scale="95" orientation="portrait" r:id="rId10"/>
  <headerFooter alignWithMargins="0">
    <oddHeader>&amp;L&amp;8&amp;F&amp;C&amp;8&amp;A&amp;R&amp;8&amp;D</oddHeader>
    <oddFooter>&amp;L&amp;8copyright © www.rvo.at</oddFooter>
  </headerFooter>
  <legacyDrawing r:id="rId1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"/>
  <sheetViews>
    <sheetView zoomScaleNormal="100" workbookViewId="0">
      <pane ySplit="1" topLeftCell="A2" activePane="bottomLeft" state="frozen"/>
      <selection activeCell="G24" sqref="G24"/>
      <selection pane="bottomLeft" activeCell="A12" sqref="A12"/>
    </sheetView>
  </sheetViews>
  <sheetFormatPr baseColWidth="10" defaultColWidth="11.44140625" defaultRowHeight="11.4"/>
  <cols>
    <col min="1" max="1" width="12.44140625" style="168" customWidth="1"/>
    <col min="2" max="2" width="11.21875" style="169" customWidth="1"/>
    <col min="3" max="3" width="12.33203125" style="138" customWidth="1"/>
    <col min="4" max="4" width="11.5546875" style="167" customWidth="1"/>
    <col min="5" max="5" width="11.6640625" style="138" customWidth="1"/>
    <col min="6" max="6" width="10.6640625" style="138" customWidth="1"/>
    <col min="7" max="7" width="11.44140625" style="138" bestFit="1" customWidth="1"/>
    <col min="8" max="16384" width="11.44140625" style="138"/>
  </cols>
  <sheetData>
    <row r="1" spans="1:10" ht="15" customHeight="1">
      <c r="A1" s="324" t="s">
        <v>180</v>
      </c>
      <c r="B1" s="324"/>
      <c r="C1" s="324"/>
      <c r="D1" s="324"/>
      <c r="E1" s="324"/>
      <c r="F1" s="317" t="s">
        <v>58</v>
      </c>
      <c r="G1" s="137" t="s">
        <v>58</v>
      </c>
    </row>
    <row r="2" spans="1:10" ht="17.399999999999999" customHeight="1">
      <c r="A2" s="139" t="s">
        <v>181</v>
      </c>
      <c r="B2" s="140" t="s">
        <v>174</v>
      </c>
      <c r="C2" s="140" t="s">
        <v>106</v>
      </c>
      <c r="D2" s="141" t="s">
        <v>107</v>
      </c>
      <c r="E2" s="141" t="s">
        <v>108</v>
      </c>
      <c r="G2" s="142"/>
      <c r="H2" s="143"/>
    </row>
    <row r="3" spans="1:10">
      <c r="A3" s="144">
        <v>12816</v>
      </c>
      <c r="B3" s="304">
        <v>0</v>
      </c>
      <c r="C3" s="146">
        <f>0-A3</f>
        <v>-12816</v>
      </c>
      <c r="D3" s="147">
        <v>0</v>
      </c>
      <c r="E3" s="304">
        <v>0</v>
      </c>
      <c r="F3" s="143"/>
      <c r="I3" s="145"/>
    </row>
    <row r="4" spans="1:10">
      <c r="A4" s="144">
        <v>20818</v>
      </c>
      <c r="B4" s="304">
        <v>-0.2</v>
      </c>
      <c r="C4" s="146">
        <f t="shared" ref="C4:C8" si="0">A3-A4</f>
        <v>-8002</v>
      </c>
      <c r="D4" s="147">
        <f>B4*C4</f>
        <v>1600.4</v>
      </c>
      <c r="E4" s="304">
        <f t="shared" ref="E4:E9" si="1">B3-B4</f>
        <v>0.2</v>
      </c>
      <c r="F4" s="145"/>
      <c r="I4" s="145"/>
    </row>
    <row r="5" spans="1:10">
      <c r="A5" s="144">
        <v>34513</v>
      </c>
      <c r="B5" s="304">
        <v>-0.3</v>
      </c>
      <c r="C5" s="146">
        <f t="shared" si="0"/>
        <v>-13695</v>
      </c>
      <c r="D5" s="147">
        <f>B5*C5+D4</f>
        <v>5708.9</v>
      </c>
      <c r="E5" s="304">
        <f t="shared" si="1"/>
        <v>9.9999999999999978E-2</v>
      </c>
      <c r="F5" s="145"/>
      <c r="I5" s="145"/>
    </row>
    <row r="6" spans="1:10">
      <c r="A6" s="144">
        <v>66612</v>
      </c>
      <c r="B6" s="304">
        <v>-0.4</v>
      </c>
      <c r="C6" s="146">
        <f t="shared" si="0"/>
        <v>-32099</v>
      </c>
      <c r="D6" s="147">
        <f>B6*C6+D5</f>
        <v>18548.5</v>
      </c>
      <c r="E6" s="304">
        <f t="shared" si="1"/>
        <v>0.10000000000000003</v>
      </c>
      <c r="F6" s="145"/>
      <c r="G6" s="145"/>
    </row>
    <row r="7" spans="1:10">
      <c r="A7" s="144">
        <v>99266</v>
      </c>
      <c r="B7" s="304">
        <v>-0.48</v>
      </c>
      <c r="C7" s="146">
        <f t="shared" si="0"/>
        <v>-32654</v>
      </c>
      <c r="D7" s="147">
        <f>B7*C7+D6</f>
        <v>34222.42</v>
      </c>
      <c r="E7" s="304">
        <f t="shared" si="1"/>
        <v>7.999999999999996E-2</v>
      </c>
      <c r="F7" s="145"/>
      <c r="G7" s="145"/>
    </row>
    <row r="8" spans="1:10">
      <c r="A8" s="144">
        <v>1000000</v>
      </c>
      <c r="B8" s="304">
        <v>-0.5</v>
      </c>
      <c r="C8" s="146">
        <f t="shared" si="0"/>
        <v>-900734</v>
      </c>
      <c r="D8" s="147">
        <f>B8*C8+D7</f>
        <v>484589.42</v>
      </c>
      <c r="E8" s="304">
        <f t="shared" si="1"/>
        <v>2.0000000000000018E-2</v>
      </c>
      <c r="F8" s="145"/>
      <c r="G8" s="145"/>
    </row>
    <row r="9" spans="1:10">
      <c r="A9" s="148" t="s">
        <v>111</v>
      </c>
      <c r="B9" s="304">
        <v>-0.55000000000000004</v>
      </c>
      <c r="C9" s="149"/>
      <c r="D9" s="150"/>
      <c r="E9" s="304">
        <f t="shared" si="1"/>
        <v>5.0000000000000044E-2</v>
      </c>
      <c r="F9" s="145"/>
      <c r="G9" s="145"/>
      <c r="H9" s="147"/>
      <c r="I9" s="147"/>
    </row>
    <row r="10" spans="1:10">
      <c r="A10" s="151"/>
      <c r="B10" s="145"/>
      <c r="C10" s="149"/>
      <c r="D10" s="150"/>
      <c r="E10" s="145"/>
      <c r="F10" s="145"/>
      <c r="G10" s="145"/>
      <c r="H10" s="147"/>
      <c r="I10" s="147"/>
    </row>
    <row r="11" spans="1:10">
      <c r="A11" s="152" t="s">
        <v>112</v>
      </c>
      <c r="B11" s="153" t="s">
        <v>182</v>
      </c>
      <c r="C11" s="153" t="s">
        <v>183</v>
      </c>
      <c r="D11" s="154" t="s">
        <v>175</v>
      </c>
      <c r="E11" s="154" t="s">
        <v>184</v>
      </c>
      <c r="F11" s="154" t="s">
        <v>185</v>
      </c>
      <c r="G11" s="154" t="s">
        <v>184</v>
      </c>
    </row>
    <row r="12" spans="1:10" ht="18" customHeight="1">
      <c r="A12" s="156">
        <v>25000</v>
      </c>
      <c r="B12" s="305">
        <f>ROUND(IF(A12&lt;=A3,B3,IF(A12&lt;=A4,B4,IF(A12&lt;=A5,B5,IF(A12&lt;=A6,B6,IF(A12&lt;=A7,B7,IF(A12&lt;=A8,B8,B9)))))),3)</f>
        <v>-0.3</v>
      </c>
      <c r="C12" s="160">
        <f>ROUND(IF(A12&lt;12816,0,IF(A12&lt;20818,(A12-12816)*-0.2,IF(A12&lt;34513,(A12-20818)*-0.3-1600.4,IF(A12&lt;66612,(A12-34513)*-0.4-5708.9,IF(A12&lt;99266,(A12-66612)*-0.48-18548.5,IF(A12&lt;1000000,(A12-99266)*-0.5-34222.42,(A12-1000000)*-0.55-484589.42)))))),2)</f>
        <v>-2855</v>
      </c>
      <c r="D12" s="160">
        <f>ROUND(IF(A12&lt;11693,0,IF(A12&lt;19134,(A12-11693)*-0.2,IF(A12&lt;32075,(A12-19134)*-0.3-1488.2,IF(A12&lt;62080,(A12-32075)*-0.41-5370.5,IF(A12&lt;93120,(A12-62080)*-0.48-17672.55,IF(A12&lt;1000000,(A12-93120)*-0.5-32571.75,(A12-1000000)*-0.55-486011.75)))))),2)</f>
        <v>-3248</v>
      </c>
      <c r="E12" s="160">
        <f>C12-D12</f>
        <v>393</v>
      </c>
      <c r="F12" s="172">
        <f t="shared" ref="F12:F74" si="2">ROUND(C12/A12,4)</f>
        <v>-0.1142</v>
      </c>
      <c r="G12" s="172">
        <f t="shared" ref="G12:G74" si="3">ROUND(E12/A12,4)</f>
        <v>1.5699999999999999E-2</v>
      </c>
      <c r="I12" s="161" t="s">
        <v>118</v>
      </c>
      <c r="J12" s="138" t="s">
        <v>116</v>
      </c>
    </row>
    <row r="13" spans="1:10">
      <c r="A13" s="162">
        <v>11000</v>
      </c>
      <c r="B13" s="256">
        <f>ROUND(IF(A13&lt;=11000,0,IF(A13&lt;=18000,"-25 %",IF(A13&lt;=31000,"-35 %",IF(A13&lt;=60000,"-42 %",IF(A13&lt;=90000,"-48 %",IF(A13&lt;=1000000,"-50 %","-55 %")))))),2)</f>
        <v>0</v>
      </c>
      <c r="C13" s="147">
        <f>ROUND(IF($A13&lt;$A$3,0,IF($A13&lt;$A$4,($A13-$A$3)*$B$4,IF($A13&lt;$A$5,($A13-$A$4)*$B$5-$D$4,IF($A13&lt;$A$6,($A13-$A$5)*$B$6-$D$5,IF($A13&lt;$A$7,($A13-$A$6)*$B$7-$D$6,IF($A13&lt;$A$8,($A13-$A$7)*$B$8-$D$7,($A13-$A$8)*$B$9-$D$8)))))),2)</f>
        <v>0</v>
      </c>
      <c r="D13" s="164">
        <f>ROUND(IF(A13&lt;11693,0,IF(A13&lt;19134,(A13-11693)*-0.2,IF(A13&lt;32075,(A13-19134)*-0.3-1488.2,IF(A13&lt;62080,(A13-32075)*-0.41-5370.5,IF(A13&lt;93120,(A13-62080)*-0.48-17672.55,IF(A13&lt;1000000,(A13-93120)*-0.5-32571.75,(A13-1000000)*-0.55-486011.75)))))),2)</f>
        <v>0</v>
      </c>
      <c r="E13" s="165">
        <f t="shared" ref="E13:E74" si="4">C13-D13</f>
        <v>0</v>
      </c>
      <c r="F13" s="319">
        <f t="shared" si="2"/>
        <v>0</v>
      </c>
      <c r="G13" s="319">
        <f t="shared" si="3"/>
        <v>0</v>
      </c>
      <c r="J13" s="320" t="s">
        <v>117</v>
      </c>
    </row>
    <row r="14" spans="1:10">
      <c r="A14" s="162">
        <v>12000</v>
      </c>
      <c r="B14" s="256">
        <v>-0.2</v>
      </c>
      <c r="C14" s="147">
        <f t="shared" ref="C14:C74" si="5">ROUND(IF(A14&lt;$A$3,0,IF(A14&lt;$A$4,(A14-$A$3)*$B$4,IF(A14&lt;$A$5,(A14-$A$4)*$B$5-$D$4,IF(A14&lt;$A$6,(A14-$A$5)*$B$6-$D$5,IF(A14&lt;$A$7,(A14-$A$6)*$B$7-$D$6,IF(A14&lt;$A$8,(A14-$A$7)*$B$8-$D$7,(A14-$A$8)*$B$9-$D$8)))))),2)</f>
        <v>0</v>
      </c>
      <c r="D14" s="164">
        <f t="shared" ref="D14:D74" si="6">ROUND(IF(A14&lt;11693,0,IF(A14&lt;19134,(A14-11693)*-0.2,IF(A14&lt;32075,(A14-19134)*-0.3-1488.2,IF(A14&lt;62080,(A14-32075)*-0.41-5370.5,IF(A14&lt;93120,(A14-62080)*-0.48-17672.55,IF(A14&lt;1000000,(A14-93120)*-0.5-32571.75,(A14-1000000)*-0.55-486011.75)))))),2)</f>
        <v>-61.4</v>
      </c>
      <c r="E14" s="165">
        <f t="shared" si="4"/>
        <v>61.4</v>
      </c>
      <c r="F14" s="319">
        <f t="shared" si="2"/>
        <v>0</v>
      </c>
      <c r="G14" s="319">
        <f t="shared" si="3"/>
        <v>5.1000000000000004E-3</v>
      </c>
    </row>
    <row r="15" spans="1:10">
      <c r="A15" s="162">
        <v>13000</v>
      </c>
      <c r="B15" s="256">
        <v>-0.2</v>
      </c>
      <c r="C15" s="147">
        <f t="shared" si="5"/>
        <v>-36.799999999999997</v>
      </c>
      <c r="D15" s="164">
        <f t="shared" si="6"/>
        <v>-261.39999999999998</v>
      </c>
      <c r="E15" s="165">
        <f t="shared" si="4"/>
        <v>224.59999999999997</v>
      </c>
      <c r="F15" s="319">
        <f t="shared" si="2"/>
        <v>-2.8E-3</v>
      </c>
      <c r="G15" s="319">
        <f t="shared" si="3"/>
        <v>1.7299999999999999E-2</v>
      </c>
    </row>
    <row r="16" spans="1:10">
      <c r="A16" s="162">
        <v>14000</v>
      </c>
      <c r="B16" s="256">
        <v>-0.2</v>
      </c>
      <c r="C16" s="147">
        <f t="shared" si="5"/>
        <v>-236.8</v>
      </c>
      <c r="D16" s="164">
        <f t="shared" si="6"/>
        <v>-461.4</v>
      </c>
      <c r="E16" s="165">
        <f t="shared" si="4"/>
        <v>224.59999999999997</v>
      </c>
      <c r="F16" s="319">
        <f t="shared" si="2"/>
        <v>-1.6899999999999998E-2</v>
      </c>
      <c r="G16" s="319">
        <f t="shared" si="3"/>
        <v>1.6E-2</v>
      </c>
    </row>
    <row r="17" spans="1:7">
      <c r="A17" s="162">
        <v>15000</v>
      </c>
      <c r="B17" s="256">
        <v>-0.2</v>
      </c>
      <c r="C17" s="147">
        <f t="shared" si="5"/>
        <v>-436.8</v>
      </c>
      <c r="D17" s="164">
        <f t="shared" si="6"/>
        <v>-661.4</v>
      </c>
      <c r="E17" s="165">
        <f t="shared" si="4"/>
        <v>224.59999999999997</v>
      </c>
      <c r="F17" s="319">
        <f t="shared" si="2"/>
        <v>-2.9100000000000001E-2</v>
      </c>
      <c r="G17" s="319">
        <f t="shared" si="3"/>
        <v>1.4999999999999999E-2</v>
      </c>
    </row>
    <row r="18" spans="1:7">
      <c r="A18" s="162">
        <v>16000</v>
      </c>
      <c r="B18" s="256">
        <v>-0.2</v>
      </c>
      <c r="C18" s="147">
        <f t="shared" si="5"/>
        <v>-636.79999999999995</v>
      </c>
      <c r="D18" s="164">
        <f t="shared" si="6"/>
        <v>-861.4</v>
      </c>
      <c r="E18" s="165">
        <f t="shared" si="4"/>
        <v>224.60000000000002</v>
      </c>
      <c r="F18" s="319">
        <f t="shared" si="2"/>
        <v>-3.9800000000000002E-2</v>
      </c>
      <c r="G18" s="319">
        <f t="shared" si="3"/>
        <v>1.4E-2</v>
      </c>
    </row>
    <row r="19" spans="1:7">
      <c r="A19" s="162">
        <v>17000</v>
      </c>
      <c r="B19" s="256">
        <v>-0.2</v>
      </c>
      <c r="C19" s="147">
        <f t="shared" si="5"/>
        <v>-836.8</v>
      </c>
      <c r="D19" s="164">
        <f t="shared" si="6"/>
        <v>-1061.4000000000001</v>
      </c>
      <c r="E19" s="165">
        <f t="shared" si="4"/>
        <v>224.60000000000014</v>
      </c>
      <c r="F19" s="319">
        <f t="shared" si="2"/>
        <v>-4.9200000000000001E-2</v>
      </c>
      <c r="G19" s="319">
        <f t="shared" si="3"/>
        <v>1.32E-2</v>
      </c>
    </row>
    <row r="20" spans="1:7">
      <c r="A20" s="162">
        <v>18000</v>
      </c>
      <c r="B20" s="256">
        <v>-0.2</v>
      </c>
      <c r="C20" s="147">
        <f t="shared" si="5"/>
        <v>-1036.8</v>
      </c>
      <c r="D20" s="164">
        <f t="shared" si="6"/>
        <v>-1261.4000000000001</v>
      </c>
      <c r="E20" s="165">
        <f t="shared" si="4"/>
        <v>224.60000000000014</v>
      </c>
      <c r="F20" s="319">
        <f t="shared" si="2"/>
        <v>-5.7599999999999998E-2</v>
      </c>
      <c r="G20" s="319">
        <f t="shared" si="3"/>
        <v>1.2500000000000001E-2</v>
      </c>
    </row>
    <row r="21" spans="1:7">
      <c r="A21" s="162">
        <v>19000</v>
      </c>
      <c r="B21" s="256">
        <v>-0.2</v>
      </c>
      <c r="C21" s="147">
        <f t="shared" si="5"/>
        <v>-1236.8</v>
      </c>
      <c r="D21" s="164">
        <f t="shared" si="6"/>
        <v>-1461.4</v>
      </c>
      <c r="E21" s="165">
        <f t="shared" si="4"/>
        <v>224.60000000000014</v>
      </c>
      <c r="F21" s="319">
        <f t="shared" si="2"/>
        <v>-6.5100000000000005E-2</v>
      </c>
      <c r="G21" s="319">
        <f t="shared" si="3"/>
        <v>1.18E-2</v>
      </c>
    </row>
    <row r="22" spans="1:7">
      <c r="A22" s="162">
        <v>21000</v>
      </c>
      <c r="B22" s="256">
        <v>-0.3</v>
      </c>
      <c r="C22" s="147">
        <f t="shared" si="5"/>
        <v>-1655</v>
      </c>
      <c r="D22" s="164">
        <f t="shared" si="6"/>
        <v>-2048</v>
      </c>
      <c r="E22" s="165">
        <f t="shared" si="4"/>
        <v>393</v>
      </c>
      <c r="F22" s="319">
        <f t="shared" si="2"/>
        <v>-7.8799999999999995E-2</v>
      </c>
      <c r="G22" s="319">
        <f t="shared" si="3"/>
        <v>1.8700000000000001E-2</v>
      </c>
    </row>
    <row r="23" spans="1:7">
      <c r="A23" s="162">
        <v>23000</v>
      </c>
      <c r="B23" s="256">
        <v>-0.3</v>
      </c>
      <c r="C23" s="147">
        <f t="shared" si="5"/>
        <v>-2255</v>
      </c>
      <c r="D23" s="164">
        <f t="shared" si="6"/>
        <v>-2648</v>
      </c>
      <c r="E23" s="165">
        <f t="shared" si="4"/>
        <v>393</v>
      </c>
      <c r="F23" s="319">
        <f t="shared" si="2"/>
        <v>-9.8000000000000004E-2</v>
      </c>
      <c r="G23" s="319">
        <f t="shared" si="3"/>
        <v>1.7100000000000001E-2</v>
      </c>
    </row>
    <row r="24" spans="1:7">
      <c r="A24" s="162">
        <v>25000</v>
      </c>
      <c r="B24" s="256">
        <v>-0.3</v>
      </c>
      <c r="C24" s="147">
        <f t="shared" si="5"/>
        <v>-2855</v>
      </c>
      <c r="D24" s="164">
        <f t="shared" si="6"/>
        <v>-3248</v>
      </c>
      <c r="E24" s="165">
        <f t="shared" si="4"/>
        <v>393</v>
      </c>
      <c r="F24" s="319">
        <f t="shared" si="2"/>
        <v>-0.1142</v>
      </c>
      <c r="G24" s="319">
        <f t="shared" si="3"/>
        <v>1.5699999999999999E-2</v>
      </c>
    </row>
    <row r="25" spans="1:7">
      <c r="A25" s="162">
        <v>27000</v>
      </c>
      <c r="B25" s="256">
        <v>-0.3</v>
      </c>
      <c r="C25" s="147">
        <f t="shared" si="5"/>
        <v>-3455</v>
      </c>
      <c r="D25" s="164">
        <f t="shared" si="6"/>
        <v>-3848</v>
      </c>
      <c r="E25" s="165">
        <f t="shared" si="4"/>
        <v>393</v>
      </c>
      <c r="F25" s="319">
        <f t="shared" si="2"/>
        <v>-0.128</v>
      </c>
      <c r="G25" s="319">
        <f t="shared" si="3"/>
        <v>1.46E-2</v>
      </c>
    </row>
    <row r="26" spans="1:7">
      <c r="A26" s="162">
        <v>29000</v>
      </c>
      <c r="B26" s="256">
        <v>-0.3</v>
      </c>
      <c r="C26" s="147">
        <f t="shared" si="5"/>
        <v>-4055</v>
      </c>
      <c r="D26" s="164">
        <f t="shared" si="6"/>
        <v>-4448</v>
      </c>
      <c r="E26" s="165">
        <f t="shared" si="4"/>
        <v>393</v>
      </c>
      <c r="F26" s="319">
        <f t="shared" si="2"/>
        <v>-0.13980000000000001</v>
      </c>
      <c r="G26" s="319">
        <f t="shared" si="3"/>
        <v>1.3599999999999999E-2</v>
      </c>
    </row>
    <row r="27" spans="1:7">
      <c r="A27" s="162">
        <v>31000</v>
      </c>
      <c r="B27" s="256">
        <v>-0.3</v>
      </c>
      <c r="C27" s="147">
        <f t="shared" si="5"/>
        <v>-4655</v>
      </c>
      <c r="D27" s="164">
        <f t="shared" si="6"/>
        <v>-5048</v>
      </c>
      <c r="E27" s="165">
        <f t="shared" si="4"/>
        <v>393</v>
      </c>
      <c r="F27" s="319">
        <f t="shared" si="2"/>
        <v>-0.1502</v>
      </c>
      <c r="G27" s="319">
        <f t="shared" si="3"/>
        <v>1.2699999999999999E-2</v>
      </c>
    </row>
    <row r="28" spans="1:7">
      <c r="A28" s="162">
        <v>32000</v>
      </c>
      <c r="B28" s="256">
        <v>-0.3</v>
      </c>
      <c r="C28" s="147">
        <f t="shared" si="5"/>
        <v>-4955</v>
      </c>
      <c r="D28" s="164">
        <f t="shared" si="6"/>
        <v>-5348</v>
      </c>
      <c r="E28" s="165">
        <f t="shared" si="4"/>
        <v>393</v>
      </c>
      <c r="F28" s="319">
        <f t="shared" si="2"/>
        <v>-0.15479999999999999</v>
      </c>
      <c r="G28" s="319">
        <f t="shared" si="3"/>
        <v>1.23E-2</v>
      </c>
    </row>
    <row r="29" spans="1:7">
      <c r="A29" s="162">
        <v>34000</v>
      </c>
      <c r="B29" s="256">
        <v>-0.4</v>
      </c>
      <c r="C29" s="147">
        <f t="shared" si="5"/>
        <v>-5555</v>
      </c>
      <c r="D29" s="164">
        <f t="shared" si="6"/>
        <v>-6159.75</v>
      </c>
      <c r="E29" s="165">
        <f t="shared" si="4"/>
        <v>604.75</v>
      </c>
      <c r="F29" s="319">
        <f t="shared" si="2"/>
        <v>-0.16339999999999999</v>
      </c>
      <c r="G29" s="319">
        <f t="shared" si="3"/>
        <v>1.78E-2</v>
      </c>
    </row>
    <row r="30" spans="1:7">
      <c r="A30" s="162">
        <v>36000</v>
      </c>
      <c r="B30" s="256">
        <v>-0.4</v>
      </c>
      <c r="C30" s="147">
        <f t="shared" si="5"/>
        <v>-6303.7</v>
      </c>
      <c r="D30" s="164">
        <f t="shared" si="6"/>
        <v>-6979.75</v>
      </c>
      <c r="E30" s="165">
        <f t="shared" si="4"/>
        <v>676.05000000000018</v>
      </c>
      <c r="F30" s="319">
        <f t="shared" si="2"/>
        <v>-0.17510000000000001</v>
      </c>
      <c r="G30" s="319">
        <f t="shared" si="3"/>
        <v>1.8800000000000001E-2</v>
      </c>
    </row>
    <row r="31" spans="1:7">
      <c r="A31" s="162">
        <v>38000</v>
      </c>
      <c r="B31" s="256">
        <v>-0.4</v>
      </c>
      <c r="C31" s="147">
        <f t="shared" si="5"/>
        <v>-7103.7</v>
      </c>
      <c r="D31" s="164">
        <f t="shared" si="6"/>
        <v>-7799.75</v>
      </c>
      <c r="E31" s="165">
        <f t="shared" si="4"/>
        <v>696.05000000000018</v>
      </c>
      <c r="F31" s="319">
        <f t="shared" si="2"/>
        <v>-0.18690000000000001</v>
      </c>
      <c r="G31" s="319">
        <f t="shared" si="3"/>
        <v>1.83E-2</v>
      </c>
    </row>
    <row r="32" spans="1:7" s="167" customFormat="1">
      <c r="A32" s="162">
        <v>40000</v>
      </c>
      <c r="B32" s="256">
        <v>-0.4</v>
      </c>
      <c r="C32" s="147">
        <f t="shared" si="5"/>
        <v>-7903.7</v>
      </c>
      <c r="D32" s="164">
        <f t="shared" si="6"/>
        <v>-8619.75</v>
      </c>
      <c r="E32" s="165">
        <f t="shared" si="4"/>
        <v>716.05000000000018</v>
      </c>
      <c r="F32" s="319">
        <f t="shared" si="2"/>
        <v>-0.1976</v>
      </c>
      <c r="G32" s="319">
        <f t="shared" si="3"/>
        <v>1.7899999999999999E-2</v>
      </c>
    </row>
    <row r="33" spans="1:7" s="167" customFormat="1">
      <c r="A33" s="162">
        <v>45000</v>
      </c>
      <c r="B33" s="256">
        <v>-0.4</v>
      </c>
      <c r="C33" s="147">
        <f t="shared" si="5"/>
        <v>-9903.7000000000007</v>
      </c>
      <c r="D33" s="164">
        <f t="shared" si="6"/>
        <v>-10669.75</v>
      </c>
      <c r="E33" s="165">
        <f t="shared" si="4"/>
        <v>766.04999999999927</v>
      </c>
      <c r="F33" s="319">
        <f t="shared" si="2"/>
        <v>-0.22009999999999999</v>
      </c>
      <c r="G33" s="319">
        <f t="shared" si="3"/>
        <v>1.7000000000000001E-2</v>
      </c>
    </row>
    <row r="34" spans="1:7" s="167" customFormat="1">
      <c r="A34" s="162">
        <v>50000</v>
      </c>
      <c r="B34" s="256">
        <v>-0.4</v>
      </c>
      <c r="C34" s="147">
        <f t="shared" si="5"/>
        <v>-11903.7</v>
      </c>
      <c r="D34" s="164">
        <f t="shared" si="6"/>
        <v>-12719.75</v>
      </c>
      <c r="E34" s="165">
        <f t="shared" si="4"/>
        <v>816.04999999999927</v>
      </c>
      <c r="F34" s="319">
        <f t="shared" si="2"/>
        <v>-0.23810000000000001</v>
      </c>
      <c r="G34" s="319">
        <f t="shared" si="3"/>
        <v>1.6299999999999999E-2</v>
      </c>
    </row>
    <row r="35" spans="1:7" s="167" customFormat="1">
      <c r="A35" s="162">
        <v>55000</v>
      </c>
      <c r="B35" s="256">
        <v>-0.4</v>
      </c>
      <c r="C35" s="147">
        <f t="shared" si="5"/>
        <v>-13903.7</v>
      </c>
      <c r="D35" s="164">
        <f t="shared" si="6"/>
        <v>-14769.75</v>
      </c>
      <c r="E35" s="165">
        <f t="shared" si="4"/>
        <v>866.04999999999927</v>
      </c>
      <c r="F35" s="319">
        <f t="shared" si="2"/>
        <v>-0.25280000000000002</v>
      </c>
      <c r="G35" s="319">
        <f t="shared" si="3"/>
        <v>1.5699999999999999E-2</v>
      </c>
    </row>
    <row r="36" spans="1:7" s="167" customFormat="1">
      <c r="A36" s="162">
        <v>60000</v>
      </c>
      <c r="B36" s="256">
        <v>-0.4</v>
      </c>
      <c r="C36" s="147">
        <f t="shared" si="5"/>
        <v>-15903.7</v>
      </c>
      <c r="D36" s="164">
        <f t="shared" si="6"/>
        <v>-16819.75</v>
      </c>
      <c r="E36" s="165">
        <f t="shared" si="4"/>
        <v>916.04999999999927</v>
      </c>
      <c r="F36" s="319">
        <f t="shared" si="2"/>
        <v>-0.2651</v>
      </c>
      <c r="G36" s="319">
        <f t="shared" si="3"/>
        <v>1.5299999999999999E-2</v>
      </c>
    </row>
    <row r="37" spans="1:7" s="167" customFormat="1">
      <c r="A37" s="162">
        <v>65000</v>
      </c>
      <c r="B37" s="256">
        <f t="shared" ref="B37:B74" si="7">ROUND(IF(A37&lt;=11000,0,IF(A37&lt;=18000,"-25 %",IF(A37&lt;=31000,"-35 %",IF(A37&lt;=60000,"-42 %",IF(A37&lt;=90000,"-48 %",IF(A37&lt;=1000000,"-50 %","-55 %")))))),2)</f>
        <v>-0.48</v>
      </c>
      <c r="C37" s="147">
        <f t="shared" si="5"/>
        <v>-17903.7</v>
      </c>
      <c r="D37" s="164">
        <f t="shared" si="6"/>
        <v>-19074.150000000001</v>
      </c>
      <c r="E37" s="165">
        <f t="shared" si="4"/>
        <v>1170.4500000000007</v>
      </c>
      <c r="F37" s="319">
        <f t="shared" si="2"/>
        <v>-0.27539999999999998</v>
      </c>
      <c r="G37" s="319">
        <f t="shared" si="3"/>
        <v>1.7999999999999999E-2</v>
      </c>
    </row>
    <row r="38" spans="1:7" s="167" customFormat="1">
      <c r="A38" s="162">
        <v>70000</v>
      </c>
      <c r="B38" s="256">
        <f t="shared" si="7"/>
        <v>-0.48</v>
      </c>
      <c r="C38" s="147">
        <f t="shared" si="5"/>
        <v>-20174.740000000002</v>
      </c>
      <c r="D38" s="164">
        <f t="shared" si="6"/>
        <v>-21474.15</v>
      </c>
      <c r="E38" s="165">
        <f t="shared" si="4"/>
        <v>1299.4099999999999</v>
      </c>
      <c r="F38" s="319">
        <f t="shared" si="2"/>
        <v>-0.28820000000000001</v>
      </c>
      <c r="G38" s="319">
        <f t="shared" si="3"/>
        <v>1.8599999999999998E-2</v>
      </c>
    </row>
    <row r="39" spans="1:7" s="167" customFormat="1">
      <c r="A39" s="162">
        <v>75000</v>
      </c>
      <c r="B39" s="256">
        <f t="shared" si="7"/>
        <v>-0.48</v>
      </c>
      <c r="C39" s="147">
        <f t="shared" si="5"/>
        <v>-22574.74</v>
      </c>
      <c r="D39" s="164">
        <f t="shared" si="6"/>
        <v>-23874.15</v>
      </c>
      <c r="E39" s="165">
        <f t="shared" si="4"/>
        <v>1299.4099999999999</v>
      </c>
      <c r="F39" s="319">
        <f t="shared" si="2"/>
        <v>-0.30099999999999999</v>
      </c>
      <c r="G39" s="319">
        <f t="shared" si="3"/>
        <v>1.7299999999999999E-2</v>
      </c>
    </row>
    <row r="40" spans="1:7" s="167" customFormat="1">
      <c r="A40" s="162">
        <v>80000</v>
      </c>
      <c r="B40" s="256">
        <f t="shared" si="7"/>
        <v>-0.48</v>
      </c>
      <c r="C40" s="147">
        <f t="shared" si="5"/>
        <v>-24974.74</v>
      </c>
      <c r="D40" s="164">
        <f t="shared" si="6"/>
        <v>-26274.15</v>
      </c>
      <c r="E40" s="165">
        <f t="shared" si="4"/>
        <v>1299.4099999999999</v>
      </c>
      <c r="F40" s="319">
        <f t="shared" si="2"/>
        <v>-0.31219999999999998</v>
      </c>
      <c r="G40" s="319">
        <f t="shared" si="3"/>
        <v>1.6199999999999999E-2</v>
      </c>
    </row>
    <row r="41" spans="1:7" s="167" customFormat="1">
      <c r="A41" s="162">
        <v>85000</v>
      </c>
      <c r="B41" s="256">
        <f t="shared" si="7"/>
        <v>-0.48</v>
      </c>
      <c r="C41" s="147">
        <f t="shared" si="5"/>
        <v>-27374.74</v>
      </c>
      <c r="D41" s="164">
        <f t="shared" si="6"/>
        <v>-28674.15</v>
      </c>
      <c r="E41" s="165">
        <f t="shared" si="4"/>
        <v>1299.4099999999999</v>
      </c>
      <c r="F41" s="319">
        <f t="shared" si="2"/>
        <v>-0.3221</v>
      </c>
      <c r="G41" s="319">
        <f t="shared" si="3"/>
        <v>1.5299999999999999E-2</v>
      </c>
    </row>
    <row r="42" spans="1:7" s="167" customFormat="1">
      <c r="A42" s="162">
        <v>90000</v>
      </c>
      <c r="B42" s="256">
        <f t="shared" si="7"/>
        <v>-0.48</v>
      </c>
      <c r="C42" s="147">
        <f t="shared" si="5"/>
        <v>-29774.74</v>
      </c>
      <c r="D42" s="164">
        <f t="shared" si="6"/>
        <v>-31074.15</v>
      </c>
      <c r="E42" s="165">
        <f t="shared" si="4"/>
        <v>1299.4099999999999</v>
      </c>
      <c r="F42" s="319">
        <f t="shared" si="2"/>
        <v>-0.33079999999999998</v>
      </c>
      <c r="G42" s="319">
        <f t="shared" si="3"/>
        <v>1.44E-2</v>
      </c>
    </row>
    <row r="43" spans="1:7">
      <c r="A43" s="162">
        <v>95000</v>
      </c>
      <c r="B43" s="256">
        <v>-0.48</v>
      </c>
      <c r="C43" s="147">
        <f t="shared" si="5"/>
        <v>-32174.74</v>
      </c>
      <c r="D43" s="164">
        <f t="shared" si="6"/>
        <v>-33511.75</v>
      </c>
      <c r="E43" s="165">
        <f t="shared" si="4"/>
        <v>1337.0099999999984</v>
      </c>
      <c r="F43" s="319">
        <f t="shared" si="2"/>
        <v>-0.3387</v>
      </c>
      <c r="G43" s="319">
        <f t="shared" si="3"/>
        <v>1.41E-2</v>
      </c>
    </row>
    <row r="44" spans="1:7">
      <c r="A44" s="162">
        <v>100000</v>
      </c>
      <c r="B44" s="256">
        <f t="shared" si="7"/>
        <v>-0.5</v>
      </c>
      <c r="C44" s="147">
        <f t="shared" si="5"/>
        <v>-34589.42</v>
      </c>
      <c r="D44" s="164">
        <f t="shared" si="6"/>
        <v>-36011.75</v>
      </c>
      <c r="E44" s="165">
        <f t="shared" si="4"/>
        <v>1422.3300000000017</v>
      </c>
      <c r="F44" s="319">
        <f t="shared" si="2"/>
        <v>-0.34589999999999999</v>
      </c>
      <c r="G44" s="319">
        <f t="shared" si="3"/>
        <v>1.4200000000000001E-2</v>
      </c>
    </row>
    <row r="45" spans="1:7">
      <c r="A45" s="162">
        <v>200000</v>
      </c>
      <c r="B45" s="256">
        <f t="shared" si="7"/>
        <v>-0.5</v>
      </c>
      <c r="C45" s="147">
        <f t="shared" si="5"/>
        <v>-84589.42</v>
      </c>
      <c r="D45" s="164">
        <f t="shared" si="6"/>
        <v>-86011.75</v>
      </c>
      <c r="E45" s="165">
        <f t="shared" si="4"/>
        <v>1422.3300000000017</v>
      </c>
      <c r="F45" s="319">
        <f t="shared" si="2"/>
        <v>-0.4229</v>
      </c>
      <c r="G45" s="319">
        <f t="shared" si="3"/>
        <v>7.1000000000000004E-3</v>
      </c>
    </row>
    <row r="46" spans="1:7">
      <c r="A46" s="162">
        <v>300000</v>
      </c>
      <c r="B46" s="256">
        <f t="shared" si="7"/>
        <v>-0.5</v>
      </c>
      <c r="C46" s="147">
        <f t="shared" si="5"/>
        <v>-134589.42000000001</v>
      </c>
      <c r="D46" s="164">
        <f t="shared" si="6"/>
        <v>-136011.75</v>
      </c>
      <c r="E46" s="165">
        <f t="shared" si="4"/>
        <v>1422.3299999999872</v>
      </c>
      <c r="F46" s="319">
        <f t="shared" si="2"/>
        <v>-0.4486</v>
      </c>
      <c r="G46" s="319">
        <f t="shared" si="3"/>
        <v>4.7000000000000002E-3</v>
      </c>
    </row>
    <row r="47" spans="1:7">
      <c r="A47" s="162">
        <v>400000</v>
      </c>
      <c r="B47" s="256">
        <f t="shared" si="7"/>
        <v>-0.5</v>
      </c>
      <c r="C47" s="147">
        <f t="shared" si="5"/>
        <v>-184589.42</v>
      </c>
      <c r="D47" s="164">
        <f t="shared" si="6"/>
        <v>-186011.75</v>
      </c>
      <c r="E47" s="165">
        <f t="shared" si="4"/>
        <v>1422.3299999999872</v>
      </c>
      <c r="F47" s="319">
        <f t="shared" si="2"/>
        <v>-0.46150000000000002</v>
      </c>
      <c r="G47" s="319">
        <f t="shared" si="3"/>
        <v>3.5999999999999999E-3</v>
      </c>
    </row>
    <row r="48" spans="1:7">
      <c r="A48" s="162">
        <v>500000</v>
      </c>
      <c r="B48" s="256">
        <f t="shared" si="7"/>
        <v>-0.5</v>
      </c>
      <c r="C48" s="147">
        <f t="shared" si="5"/>
        <v>-234589.42</v>
      </c>
      <c r="D48" s="164">
        <f t="shared" si="6"/>
        <v>-236011.75</v>
      </c>
      <c r="E48" s="165">
        <f t="shared" si="4"/>
        <v>1422.3299999999872</v>
      </c>
      <c r="F48" s="319">
        <f t="shared" si="2"/>
        <v>-0.46920000000000001</v>
      </c>
      <c r="G48" s="319">
        <f t="shared" si="3"/>
        <v>2.8E-3</v>
      </c>
    </row>
    <row r="49" spans="1:7">
      <c r="A49" s="162">
        <v>600000</v>
      </c>
      <c r="B49" s="256">
        <f t="shared" si="7"/>
        <v>-0.5</v>
      </c>
      <c r="C49" s="147">
        <f t="shared" si="5"/>
        <v>-284589.42</v>
      </c>
      <c r="D49" s="164">
        <f t="shared" si="6"/>
        <v>-286011.75</v>
      </c>
      <c r="E49" s="165">
        <f t="shared" si="4"/>
        <v>1422.3300000000163</v>
      </c>
      <c r="F49" s="319">
        <f t="shared" si="2"/>
        <v>-0.4743</v>
      </c>
      <c r="G49" s="319">
        <f t="shared" si="3"/>
        <v>2.3999999999999998E-3</v>
      </c>
    </row>
    <row r="50" spans="1:7">
      <c r="A50" s="162">
        <v>700000</v>
      </c>
      <c r="B50" s="256">
        <f t="shared" si="7"/>
        <v>-0.5</v>
      </c>
      <c r="C50" s="147">
        <f t="shared" si="5"/>
        <v>-334589.42</v>
      </c>
      <c r="D50" s="164">
        <f t="shared" si="6"/>
        <v>-336011.75</v>
      </c>
      <c r="E50" s="165">
        <f t="shared" si="4"/>
        <v>1422.3300000000163</v>
      </c>
      <c r="F50" s="319">
        <f t="shared" si="2"/>
        <v>-0.47799999999999998</v>
      </c>
      <c r="G50" s="319">
        <f t="shared" si="3"/>
        <v>2E-3</v>
      </c>
    </row>
    <row r="51" spans="1:7">
      <c r="A51" s="162">
        <v>800000</v>
      </c>
      <c r="B51" s="256">
        <f t="shared" si="7"/>
        <v>-0.5</v>
      </c>
      <c r="C51" s="147">
        <f t="shared" si="5"/>
        <v>-384589.42</v>
      </c>
      <c r="D51" s="164">
        <f t="shared" si="6"/>
        <v>-386011.75</v>
      </c>
      <c r="E51" s="165">
        <f t="shared" si="4"/>
        <v>1422.3300000000163</v>
      </c>
      <c r="F51" s="319">
        <f t="shared" si="2"/>
        <v>-0.48070000000000002</v>
      </c>
      <c r="G51" s="319">
        <f t="shared" si="3"/>
        <v>1.8E-3</v>
      </c>
    </row>
    <row r="52" spans="1:7">
      <c r="A52" s="162">
        <v>900000</v>
      </c>
      <c r="B52" s="256">
        <f t="shared" si="7"/>
        <v>-0.5</v>
      </c>
      <c r="C52" s="147">
        <f t="shared" si="5"/>
        <v>-434589.42</v>
      </c>
      <c r="D52" s="164">
        <f t="shared" si="6"/>
        <v>-436011.75</v>
      </c>
      <c r="E52" s="165">
        <f t="shared" si="4"/>
        <v>1422.3300000000163</v>
      </c>
      <c r="F52" s="319">
        <f t="shared" si="2"/>
        <v>-0.4829</v>
      </c>
      <c r="G52" s="319">
        <f t="shared" si="3"/>
        <v>1.6000000000000001E-3</v>
      </c>
    </row>
    <row r="53" spans="1:7">
      <c r="A53" s="162">
        <v>1000000</v>
      </c>
      <c r="B53" s="256">
        <f t="shared" si="7"/>
        <v>-0.5</v>
      </c>
      <c r="C53" s="147">
        <f t="shared" si="5"/>
        <v>-484589.42</v>
      </c>
      <c r="D53" s="164">
        <f t="shared" si="6"/>
        <v>-486011.75</v>
      </c>
      <c r="E53" s="165">
        <f t="shared" si="4"/>
        <v>1422.3300000000163</v>
      </c>
      <c r="F53" s="319">
        <f t="shared" si="2"/>
        <v>-0.48459999999999998</v>
      </c>
      <c r="G53" s="319">
        <f t="shared" si="3"/>
        <v>1.4E-3</v>
      </c>
    </row>
    <row r="54" spans="1:7">
      <c r="A54" s="162">
        <v>1010000</v>
      </c>
      <c r="B54" s="256">
        <f t="shared" si="7"/>
        <v>-0.55000000000000004</v>
      </c>
      <c r="C54" s="147">
        <f t="shared" si="5"/>
        <v>-490089.42</v>
      </c>
      <c r="D54" s="164">
        <f t="shared" si="6"/>
        <v>-491511.75</v>
      </c>
      <c r="E54" s="165">
        <f t="shared" si="4"/>
        <v>1422.3300000000163</v>
      </c>
      <c r="F54" s="319">
        <f t="shared" si="2"/>
        <v>-0.48520000000000002</v>
      </c>
      <c r="G54" s="319">
        <f t="shared" si="3"/>
        <v>1.4E-3</v>
      </c>
    </row>
    <row r="55" spans="1:7">
      <c r="A55" s="162">
        <v>1020000</v>
      </c>
      <c r="B55" s="256">
        <f t="shared" si="7"/>
        <v>-0.55000000000000004</v>
      </c>
      <c r="C55" s="147">
        <f t="shared" si="5"/>
        <v>-495589.42</v>
      </c>
      <c r="D55" s="164">
        <f t="shared" si="6"/>
        <v>-497011.75</v>
      </c>
      <c r="E55" s="165">
        <f t="shared" si="4"/>
        <v>1422.3300000000163</v>
      </c>
      <c r="F55" s="319">
        <f t="shared" si="2"/>
        <v>-0.4859</v>
      </c>
      <c r="G55" s="319">
        <f t="shared" si="3"/>
        <v>1.4E-3</v>
      </c>
    </row>
    <row r="56" spans="1:7">
      <c r="A56" s="162">
        <v>1030000</v>
      </c>
      <c r="B56" s="256">
        <f t="shared" si="7"/>
        <v>-0.55000000000000004</v>
      </c>
      <c r="C56" s="147">
        <f t="shared" si="5"/>
        <v>-501089.42</v>
      </c>
      <c r="D56" s="164">
        <f t="shared" si="6"/>
        <v>-502511.75</v>
      </c>
      <c r="E56" s="165">
        <f t="shared" si="4"/>
        <v>1422.3300000000163</v>
      </c>
      <c r="F56" s="319">
        <f t="shared" si="2"/>
        <v>-0.48649999999999999</v>
      </c>
      <c r="G56" s="319">
        <f t="shared" si="3"/>
        <v>1.4E-3</v>
      </c>
    </row>
    <row r="57" spans="1:7">
      <c r="A57" s="162">
        <v>1040000</v>
      </c>
      <c r="B57" s="256">
        <f t="shared" si="7"/>
        <v>-0.55000000000000004</v>
      </c>
      <c r="C57" s="147">
        <f t="shared" si="5"/>
        <v>-506589.42</v>
      </c>
      <c r="D57" s="164">
        <f t="shared" si="6"/>
        <v>-508011.75</v>
      </c>
      <c r="E57" s="165">
        <f t="shared" si="4"/>
        <v>1422.3300000000163</v>
      </c>
      <c r="F57" s="319">
        <f t="shared" si="2"/>
        <v>-0.48709999999999998</v>
      </c>
      <c r="G57" s="319">
        <f t="shared" si="3"/>
        <v>1.4E-3</v>
      </c>
    </row>
    <row r="58" spans="1:7">
      <c r="A58" s="162">
        <v>1047100</v>
      </c>
      <c r="B58" s="256">
        <f t="shared" si="7"/>
        <v>-0.55000000000000004</v>
      </c>
      <c r="C58" s="147">
        <f t="shared" si="5"/>
        <v>-510494.42</v>
      </c>
      <c r="D58" s="164">
        <f t="shared" si="6"/>
        <v>-511916.75</v>
      </c>
      <c r="E58" s="165">
        <f t="shared" si="4"/>
        <v>1422.3300000000163</v>
      </c>
      <c r="F58" s="319">
        <f t="shared" si="2"/>
        <v>-0.48749999999999999</v>
      </c>
      <c r="G58" s="319">
        <f t="shared" si="3"/>
        <v>1.4E-3</v>
      </c>
    </row>
    <row r="59" spans="1:7">
      <c r="A59" s="162">
        <v>1050000</v>
      </c>
      <c r="B59" s="256">
        <f t="shared" si="7"/>
        <v>-0.55000000000000004</v>
      </c>
      <c r="C59" s="147">
        <f t="shared" si="5"/>
        <v>-512089.42</v>
      </c>
      <c r="D59" s="164">
        <f t="shared" si="6"/>
        <v>-513511.75</v>
      </c>
      <c r="E59" s="165">
        <f t="shared" si="4"/>
        <v>1422.3300000000163</v>
      </c>
      <c r="F59" s="319">
        <f t="shared" si="2"/>
        <v>-0.48770000000000002</v>
      </c>
      <c r="G59" s="319">
        <f t="shared" si="3"/>
        <v>1.4E-3</v>
      </c>
    </row>
    <row r="60" spans="1:7">
      <c r="A60" s="162">
        <v>1060000</v>
      </c>
      <c r="B60" s="256">
        <f t="shared" si="7"/>
        <v>-0.55000000000000004</v>
      </c>
      <c r="C60" s="147">
        <f t="shared" si="5"/>
        <v>-517589.42</v>
      </c>
      <c r="D60" s="164">
        <f t="shared" si="6"/>
        <v>-519011.75</v>
      </c>
      <c r="E60" s="165">
        <f t="shared" si="4"/>
        <v>1422.3300000000163</v>
      </c>
      <c r="F60" s="319">
        <f t="shared" si="2"/>
        <v>-0.48830000000000001</v>
      </c>
      <c r="G60" s="319">
        <f t="shared" si="3"/>
        <v>1.2999999999999999E-3</v>
      </c>
    </row>
    <row r="61" spans="1:7">
      <c r="A61" s="162">
        <v>1070000</v>
      </c>
      <c r="B61" s="256">
        <f t="shared" si="7"/>
        <v>-0.55000000000000004</v>
      </c>
      <c r="C61" s="147">
        <f t="shared" si="5"/>
        <v>-523089.42</v>
      </c>
      <c r="D61" s="164">
        <f t="shared" si="6"/>
        <v>-524511.75</v>
      </c>
      <c r="E61" s="165">
        <f t="shared" si="4"/>
        <v>1422.3300000000163</v>
      </c>
      <c r="F61" s="319">
        <f t="shared" si="2"/>
        <v>-0.4889</v>
      </c>
      <c r="G61" s="319">
        <f t="shared" si="3"/>
        <v>1.2999999999999999E-3</v>
      </c>
    </row>
    <row r="62" spans="1:7">
      <c r="A62" s="162">
        <v>1080000</v>
      </c>
      <c r="B62" s="256">
        <f t="shared" si="7"/>
        <v>-0.55000000000000004</v>
      </c>
      <c r="C62" s="147">
        <f t="shared" si="5"/>
        <v>-528589.42000000004</v>
      </c>
      <c r="D62" s="164">
        <f t="shared" si="6"/>
        <v>-530011.75</v>
      </c>
      <c r="E62" s="165">
        <f t="shared" si="4"/>
        <v>1422.3299999999581</v>
      </c>
      <c r="F62" s="319">
        <f t="shared" si="2"/>
        <v>-0.4894</v>
      </c>
      <c r="G62" s="319">
        <f t="shared" si="3"/>
        <v>1.2999999999999999E-3</v>
      </c>
    </row>
    <row r="63" spans="1:7">
      <c r="A63" s="162">
        <v>1090000</v>
      </c>
      <c r="B63" s="256">
        <f t="shared" si="7"/>
        <v>-0.55000000000000004</v>
      </c>
      <c r="C63" s="147">
        <f t="shared" si="5"/>
        <v>-534089.42000000004</v>
      </c>
      <c r="D63" s="164">
        <f t="shared" si="6"/>
        <v>-535511.75</v>
      </c>
      <c r="E63" s="165">
        <f t="shared" si="4"/>
        <v>1422.3299999999581</v>
      </c>
      <c r="F63" s="319">
        <f t="shared" si="2"/>
        <v>-0.49</v>
      </c>
      <c r="G63" s="319">
        <f t="shared" si="3"/>
        <v>1.2999999999999999E-3</v>
      </c>
    </row>
    <row r="64" spans="1:7">
      <c r="A64" s="162">
        <v>1100000</v>
      </c>
      <c r="B64" s="256">
        <f t="shared" si="7"/>
        <v>-0.55000000000000004</v>
      </c>
      <c r="C64" s="147">
        <f t="shared" si="5"/>
        <v>-539589.42000000004</v>
      </c>
      <c r="D64" s="164">
        <f t="shared" si="6"/>
        <v>-541011.75</v>
      </c>
      <c r="E64" s="165">
        <f t="shared" si="4"/>
        <v>1422.3299999999581</v>
      </c>
      <c r="F64" s="319">
        <f t="shared" si="2"/>
        <v>-0.49049999999999999</v>
      </c>
      <c r="G64" s="319">
        <f t="shared" si="3"/>
        <v>1.2999999999999999E-3</v>
      </c>
    </row>
    <row r="65" spans="1:7">
      <c r="A65" s="162">
        <v>1150000</v>
      </c>
      <c r="B65" s="256">
        <f t="shared" si="7"/>
        <v>-0.55000000000000004</v>
      </c>
      <c r="C65" s="147">
        <f t="shared" si="5"/>
        <v>-567089.42000000004</v>
      </c>
      <c r="D65" s="164">
        <f t="shared" si="6"/>
        <v>-568511.75</v>
      </c>
      <c r="E65" s="165">
        <f t="shared" si="4"/>
        <v>1422.3299999999581</v>
      </c>
      <c r="F65" s="319">
        <f t="shared" si="2"/>
        <v>-0.49309999999999998</v>
      </c>
      <c r="G65" s="319">
        <f t="shared" si="3"/>
        <v>1.1999999999999999E-3</v>
      </c>
    </row>
    <row r="66" spans="1:7">
      <c r="A66" s="162">
        <v>1200000</v>
      </c>
      <c r="B66" s="256">
        <f t="shared" si="7"/>
        <v>-0.55000000000000004</v>
      </c>
      <c r="C66" s="147">
        <f t="shared" si="5"/>
        <v>-594589.42000000004</v>
      </c>
      <c r="D66" s="164">
        <f t="shared" si="6"/>
        <v>-596011.75</v>
      </c>
      <c r="E66" s="165">
        <f t="shared" si="4"/>
        <v>1422.3299999999581</v>
      </c>
      <c r="F66" s="319">
        <f t="shared" si="2"/>
        <v>-0.4955</v>
      </c>
      <c r="G66" s="319">
        <f t="shared" si="3"/>
        <v>1.1999999999999999E-3</v>
      </c>
    </row>
    <row r="67" spans="1:7">
      <c r="A67" s="162">
        <v>1300000</v>
      </c>
      <c r="B67" s="256">
        <f t="shared" si="7"/>
        <v>-0.55000000000000004</v>
      </c>
      <c r="C67" s="147">
        <f t="shared" si="5"/>
        <v>-649589.42000000004</v>
      </c>
      <c r="D67" s="164">
        <f t="shared" si="6"/>
        <v>-651011.75</v>
      </c>
      <c r="E67" s="165">
        <f t="shared" si="4"/>
        <v>1422.3299999999581</v>
      </c>
      <c r="F67" s="319">
        <f t="shared" si="2"/>
        <v>-0.49969999999999998</v>
      </c>
      <c r="G67" s="319">
        <f t="shared" si="3"/>
        <v>1.1000000000000001E-3</v>
      </c>
    </row>
    <row r="68" spans="1:7">
      <c r="A68" s="162">
        <v>1400000</v>
      </c>
      <c r="B68" s="256">
        <f t="shared" si="7"/>
        <v>-0.55000000000000004</v>
      </c>
      <c r="C68" s="147">
        <f t="shared" si="5"/>
        <v>-704589.42</v>
      </c>
      <c r="D68" s="164">
        <f t="shared" si="6"/>
        <v>-706011.75</v>
      </c>
      <c r="E68" s="165">
        <f t="shared" si="4"/>
        <v>1422.3299999999581</v>
      </c>
      <c r="F68" s="319">
        <f t="shared" si="2"/>
        <v>-0.50329999999999997</v>
      </c>
      <c r="G68" s="319">
        <f t="shared" si="3"/>
        <v>1E-3</v>
      </c>
    </row>
    <row r="69" spans="1:7">
      <c r="A69" s="162">
        <v>1500000</v>
      </c>
      <c r="B69" s="256">
        <f t="shared" si="7"/>
        <v>-0.55000000000000004</v>
      </c>
      <c r="C69" s="147">
        <f t="shared" si="5"/>
        <v>-759589.42</v>
      </c>
      <c r="D69" s="164">
        <f t="shared" si="6"/>
        <v>-761011.75</v>
      </c>
      <c r="E69" s="165">
        <f t="shared" si="4"/>
        <v>1422.3299999999581</v>
      </c>
      <c r="F69" s="319">
        <f t="shared" si="2"/>
        <v>-0.50639999999999996</v>
      </c>
      <c r="G69" s="319">
        <f t="shared" si="3"/>
        <v>8.9999999999999998E-4</v>
      </c>
    </row>
    <row r="70" spans="1:7">
      <c r="A70" s="162">
        <v>1600000</v>
      </c>
      <c r="B70" s="256">
        <f t="shared" si="7"/>
        <v>-0.55000000000000004</v>
      </c>
      <c r="C70" s="147">
        <f t="shared" si="5"/>
        <v>-814589.42</v>
      </c>
      <c r="D70" s="164">
        <f t="shared" si="6"/>
        <v>-816011.75</v>
      </c>
      <c r="E70" s="165">
        <f t="shared" si="4"/>
        <v>1422.3299999999581</v>
      </c>
      <c r="F70" s="319">
        <f t="shared" si="2"/>
        <v>-0.5091</v>
      </c>
      <c r="G70" s="319">
        <f t="shared" si="3"/>
        <v>8.9999999999999998E-4</v>
      </c>
    </row>
    <row r="71" spans="1:7">
      <c r="A71" s="162">
        <v>1700000</v>
      </c>
      <c r="B71" s="256">
        <f t="shared" si="7"/>
        <v>-0.55000000000000004</v>
      </c>
      <c r="C71" s="147">
        <f t="shared" si="5"/>
        <v>-869589.42</v>
      </c>
      <c r="D71" s="164">
        <f t="shared" si="6"/>
        <v>-871011.75</v>
      </c>
      <c r="E71" s="165">
        <f t="shared" si="4"/>
        <v>1422.3299999999581</v>
      </c>
      <c r="F71" s="319">
        <f t="shared" si="2"/>
        <v>-0.51149999999999995</v>
      </c>
      <c r="G71" s="319">
        <f t="shared" si="3"/>
        <v>8.0000000000000004E-4</v>
      </c>
    </row>
    <row r="72" spans="1:7">
      <c r="A72" s="162">
        <v>1800000</v>
      </c>
      <c r="B72" s="256">
        <f t="shared" si="7"/>
        <v>-0.55000000000000004</v>
      </c>
      <c r="C72" s="147">
        <f t="shared" si="5"/>
        <v>-924589.42</v>
      </c>
      <c r="D72" s="164">
        <f t="shared" si="6"/>
        <v>-926011.75</v>
      </c>
      <c r="E72" s="165">
        <f t="shared" si="4"/>
        <v>1422.3299999999581</v>
      </c>
      <c r="F72" s="319">
        <f t="shared" si="2"/>
        <v>-0.51370000000000005</v>
      </c>
      <c r="G72" s="319">
        <f t="shared" si="3"/>
        <v>8.0000000000000004E-4</v>
      </c>
    </row>
    <row r="73" spans="1:7">
      <c r="A73" s="162">
        <v>1900000</v>
      </c>
      <c r="B73" s="256">
        <f t="shared" si="7"/>
        <v>-0.55000000000000004</v>
      </c>
      <c r="C73" s="147">
        <f t="shared" si="5"/>
        <v>-979589.42</v>
      </c>
      <c r="D73" s="164">
        <f t="shared" si="6"/>
        <v>-981011.75</v>
      </c>
      <c r="E73" s="165">
        <f t="shared" si="4"/>
        <v>1422.3299999999581</v>
      </c>
      <c r="F73" s="319">
        <f t="shared" si="2"/>
        <v>-0.51559999999999995</v>
      </c>
      <c r="G73" s="319">
        <f t="shared" si="3"/>
        <v>6.9999999999999999E-4</v>
      </c>
    </row>
    <row r="74" spans="1:7">
      <c r="A74" s="162">
        <v>2000000</v>
      </c>
      <c r="B74" s="256">
        <f t="shared" si="7"/>
        <v>-0.55000000000000004</v>
      </c>
      <c r="C74" s="147">
        <f t="shared" si="5"/>
        <v>-1034589.42</v>
      </c>
      <c r="D74" s="164">
        <f t="shared" si="6"/>
        <v>-1036011.75</v>
      </c>
      <c r="E74" s="165">
        <f t="shared" si="4"/>
        <v>1422.3299999999581</v>
      </c>
      <c r="F74" s="319">
        <f t="shared" si="2"/>
        <v>-0.51729999999999998</v>
      </c>
      <c r="G74" s="319">
        <f t="shared" si="3"/>
        <v>6.9999999999999999E-4</v>
      </c>
    </row>
  </sheetData>
  <sheetProtection password="C837" sheet="1" objects="1" scenarios="1"/>
  <mergeCells count="1">
    <mergeCell ref="A1:E1"/>
  </mergeCells>
  <conditionalFormatting sqref="G2">
    <cfRule type="expression" dxfId="227" priority="2" stopIfTrue="1">
      <formula>AND(#REF!&gt;2)</formula>
    </cfRule>
  </conditionalFormatting>
  <conditionalFormatting sqref="G13:G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G1" r:id="rId1"/>
  </hyperlinks>
  <printOptions horizontalCentered="1" gridLines="1"/>
  <pageMargins left="0.35433070866141736" right="0.19685039370078741" top="0.54" bottom="0.55000000000000004" header="0.27" footer="0.26"/>
  <pageSetup paperSize="9" scale="90" orientation="portrait" r:id="rId2"/>
  <headerFooter alignWithMargins="0">
    <oddHeader>&amp;L&amp;8&amp;F&amp;C&amp;8&amp;A&amp;R&amp;8&amp;D</oddHeader>
    <oddFooter>&amp;L&amp;8copyright © www.rvo.at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3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14.4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133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7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7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7" ht="14.4" customHeight="1" thickTop="1">
      <c r="A35" s="10"/>
      <c r="B35" s="11"/>
      <c r="C35" s="13"/>
      <c r="D35" s="12"/>
      <c r="F35" s="13"/>
    </row>
    <row r="36" spans="1:7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7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7">
        <f>ROUND(SUM(C11,C34),2)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7" ht="12.75" customHeight="1">
      <c r="A38" s="3" t="s">
        <v>161</v>
      </c>
      <c r="B38" s="17">
        <f t="shared" ref="B38:B39" si="4">ROUND(C38/12,2)</f>
        <v>0</v>
      </c>
      <c r="C38" s="45"/>
      <c r="D38" s="49">
        <f>ROUND(C38/C37,3)</f>
        <v>0</v>
      </c>
      <c r="E38" s="124" t="s">
        <v>163</v>
      </c>
      <c r="F38" s="6"/>
      <c r="G38" s="312" t="s">
        <v>146</v>
      </c>
    </row>
    <row r="39" spans="1:7" ht="12.75" customHeight="1">
      <c r="A39" s="3" t="s">
        <v>162</v>
      </c>
      <c r="B39" s="17">
        <f t="shared" si="4"/>
        <v>0</v>
      </c>
      <c r="C39" s="45"/>
      <c r="D39" s="49">
        <f>ROUND(C39/C37,3)</f>
        <v>0</v>
      </c>
      <c r="E39" s="124" t="s">
        <v>164</v>
      </c>
      <c r="F39" s="6"/>
    </row>
    <row r="40" spans="1:7" ht="12.75" customHeight="1">
      <c r="A40" s="32" t="s">
        <v>165</v>
      </c>
      <c r="B40" s="309">
        <f>ROUND(SUM(B37:B39),2)</f>
        <v>2320</v>
      </c>
      <c r="C40" s="309">
        <f>ROUND(SUM(C37:C39),2)</f>
        <v>27840</v>
      </c>
      <c r="D40" s="48">
        <f>SUM(D37:D39)</f>
        <v>1</v>
      </c>
      <c r="E40" s="310"/>
      <c r="F40" s="311"/>
    </row>
    <row r="41" spans="1:7">
      <c r="A41" s="16" t="s">
        <v>179</v>
      </c>
      <c r="B41" s="17">
        <f>ROUND(C41/12,2)</f>
        <v>-348</v>
      </c>
      <c r="C41" s="126">
        <f>ROUNDDOWN((MIN(MAX(-4500,C40*D41),0)),2)</f>
        <v>-4176</v>
      </c>
      <c r="D41" s="316">
        <v>-0.15</v>
      </c>
      <c r="E41" s="6"/>
      <c r="F41" s="6"/>
    </row>
    <row r="42" spans="1:7">
      <c r="A42" s="16" t="s">
        <v>96</v>
      </c>
      <c r="B42" s="17">
        <f>ROUND(C42/12,2)</f>
        <v>0</v>
      </c>
      <c r="C42" s="45"/>
      <c r="D42" s="49">
        <f>ROUND(C42/C37,3)</f>
        <v>0</v>
      </c>
      <c r="E42" s="130" t="str">
        <f>CONCATENATE("  max .. ",ROUND(IF(C40&lt;30000,0,IF(C40&lt;175000,C40*-0.13+3900,IF(C40&lt;350000,(C40-175000)*-0.07-18850,IF(C40&lt;580000,(C40-350000)*-0.045-31100,-41450)))),2))</f>
        <v xml:space="preserve">  max .. 0</v>
      </c>
      <c r="F42" s="30"/>
    </row>
    <row r="43" spans="1:7">
      <c r="A43" s="16" t="s">
        <v>132</v>
      </c>
      <c r="B43" s="17">
        <f>B31*-1</f>
        <v>680</v>
      </c>
      <c r="C43" s="18">
        <f>ROUND(B43*12,2)</f>
        <v>8160</v>
      </c>
      <c r="D43" s="49">
        <f>ROUND(C43/C37,3)</f>
        <v>0.29299999999999998</v>
      </c>
      <c r="E43" s="6"/>
      <c r="F43" s="6"/>
    </row>
    <row r="44" spans="1:7" outlineLevel="1">
      <c r="A44" s="32" t="s">
        <v>42</v>
      </c>
      <c r="B44" s="47">
        <f>SUM(B40:B43)</f>
        <v>2652</v>
      </c>
      <c r="C44" s="47">
        <f>SUM(C40:C43)</f>
        <v>31824</v>
      </c>
      <c r="D44" s="48">
        <f>ROUND(C44/C37,3)</f>
        <v>1.143</v>
      </c>
      <c r="E44" s="31"/>
      <c r="F44" s="33"/>
    </row>
    <row r="45" spans="1:7" outlineLevel="1">
      <c r="A45" s="117" t="s">
        <v>77</v>
      </c>
      <c r="B45" s="43">
        <v>-10.97</v>
      </c>
      <c r="C45" s="52">
        <f>ROUND(B45*12,2)</f>
        <v>-131.63999999999999</v>
      </c>
      <c r="D45" s="322" t="s">
        <v>43</v>
      </c>
      <c r="E45" s="322"/>
      <c r="F45" s="322"/>
      <c r="G45" s="116" t="s">
        <v>74</v>
      </c>
    </row>
    <row r="46" spans="1:7" outlineLevel="1">
      <c r="A46" s="118" t="s">
        <v>78</v>
      </c>
      <c r="B46" s="52">
        <f>IF(B$44&lt;E46,E46*D46,IF(B$44&gt;F46,F46*D46,B$44*D46))</f>
        <v>-490.62</v>
      </c>
      <c r="C46" s="52">
        <f>B46*12</f>
        <v>-5887.4400000000005</v>
      </c>
      <c r="D46" s="69">
        <v>-0.185</v>
      </c>
      <c r="E46" s="44">
        <v>500.91</v>
      </c>
      <c r="F46" s="119">
        <v>6825</v>
      </c>
      <c r="G46" s="301" t="s">
        <v>128</v>
      </c>
    </row>
    <row r="47" spans="1:7" ht="13.2" outlineLevel="1">
      <c r="A47" s="117" t="s">
        <v>79</v>
      </c>
      <c r="B47" s="52">
        <f>IF(B$44&lt;E47,E47*D47,IF(B$44&gt;F47,F47*D47,B$44*D47))</f>
        <v>-180.33600000000001</v>
      </c>
      <c r="C47" s="52">
        <f>B47*12</f>
        <v>-2164.0320000000002</v>
      </c>
      <c r="D47" s="69">
        <v>-6.8000000000000005E-2</v>
      </c>
      <c r="E47" s="44">
        <v>500.91</v>
      </c>
      <c r="F47" s="119">
        <v>6825</v>
      </c>
      <c r="G47" s="115"/>
    </row>
    <row r="48" spans="1:7" ht="13.2" outlineLevel="1">
      <c r="A48" s="117" t="s">
        <v>97</v>
      </c>
      <c r="B48" s="52">
        <f>IF(B$44&lt;E48,E48*D48,IF(B$44&gt;F48,F48*D48,B$44*D48))</f>
        <v>-52.21125</v>
      </c>
      <c r="C48" s="52">
        <f>B48*12</f>
        <v>-626.53499999999997</v>
      </c>
      <c r="D48" s="69">
        <v>-1.5299999999999999E-2</v>
      </c>
      <c r="E48" s="44">
        <v>3412.5</v>
      </c>
      <c r="F48" s="119">
        <v>3412.5</v>
      </c>
      <c r="G48" s="115"/>
    </row>
    <row r="49" spans="1:9" outlineLevel="1">
      <c r="A49" s="118" t="s">
        <v>98</v>
      </c>
      <c r="B49" s="52">
        <f>IF(B$44&lt;E49,E49*D49,IF(B$44&gt;F49,F49*D49,B$44*D49))</f>
        <v>-204.75</v>
      </c>
      <c r="C49" s="52">
        <f>B49*12</f>
        <v>-2457</v>
      </c>
      <c r="D49" s="69">
        <v>-0.06</v>
      </c>
      <c r="E49" s="44">
        <v>3412.5</v>
      </c>
      <c r="F49" s="119">
        <v>3412.5</v>
      </c>
    </row>
    <row r="50" spans="1:9">
      <c r="A50" s="32" t="s">
        <v>7</v>
      </c>
      <c r="B50" s="47">
        <f>ROUND(SUM(B45:B49),2)</f>
        <v>-938.89</v>
      </c>
      <c r="C50" s="47">
        <f>ROUND(SUM(C45:C49),2)</f>
        <v>-11266.65</v>
      </c>
      <c r="D50" s="48">
        <f>ROUND(C50/C37,3)</f>
        <v>-0.40500000000000003</v>
      </c>
      <c r="E50" s="33"/>
      <c r="F50" s="33"/>
    </row>
    <row r="51" spans="1:9" ht="13.5" customHeight="1">
      <c r="A51" s="70" t="s">
        <v>45</v>
      </c>
      <c r="B51" s="50">
        <f>SUM(B44,B50)</f>
        <v>1713.1100000000001</v>
      </c>
      <c r="C51" s="50">
        <f>SUM(C44,C50)</f>
        <v>20557.349999999999</v>
      </c>
      <c r="D51" s="51">
        <f>ROUND(C51/C37,3)</f>
        <v>0.73799999999999999</v>
      </c>
      <c r="E51" s="71" t="s">
        <v>46</v>
      </c>
      <c r="F51" s="71" t="s">
        <v>47</v>
      </c>
      <c r="I51" s="15"/>
    </row>
    <row r="52" spans="1:9" hidden="1">
      <c r="A52" s="308" t="s">
        <v>160</v>
      </c>
      <c r="B52" s="73"/>
      <c r="C52" s="74">
        <v>0</v>
      </c>
      <c r="D52" s="3"/>
      <c r="E52" s="75"/>
      <c r="F52" s="76">
        <v>0</v>
      </c>
      <c r="I52" s="15"/>
    </row>
    <row r="53" spans="1:9" ht="13.2" customHeight="1">
      <c r="A53" s="19" t="s">
        <v>166</v>
      </c>
      <c r="B53" s="19"/>
      <c r="C53" s="45"/>
      <c r="D53" s="16"/>
      <c r="E53" s="120"/>
      <c r="F53" s="21"/>
      <c r="G53" s="312" t="s">
        <v>146</v>
      </c>
      <c r="I53" s="15"/>
    </row>
    <row r="54" spans="1:9" hidden="1" outlineLevel="1">
      <c r="A54" s="19" t="s">
        <v>124</v>
      </c>
      <c r="B54" s="19"/>
      <c r="C54" s="74"/>
      <c r="D54" s="16"/>
      <c r="E54" s="120"/>
      <c r="F54" s="21"/>
      <c r="H54" s="15"/>
      <c r="I54" s="15"/>
    </row>
    <row r="55" spans="1:9" collapsed="1">
      <c r="A55" s="79" t="s">
        <v>50</v>
      </c>
      <c r="B55" s="79"/>
      <c r="C55" s="80">
        <f>ROUND(IF(SUM(C51:C54)&lt;0,0,SUM(C51:C54)),2)</f>
        <v>20557.349999999999</v>
      </c>
      <c r="D55" s="81"/>
      <c r="E55" s="82"/>
      <c r="F55" s="83">
        <f>ROUND(IF(C55&gt;36400,0.12,IF(C55&gt;14600,0.1,IF(C55&gt;7300,0.08,0.06)))-SUM(B71/100,B72/100),3)</f>
        <v>0.1</v>
      </c>
      <c r="G55" s="103"/>
      <c r="H55" s="15"/>
      <c r="I55" s="15"/>
    </row>
    <row r="56" spans="1:9" ht="13.5" customHeight="1">
      <c r="A56" s="84" t="str">
        <f>CONCATENATE("außergew. Belastungen ",F55*-100,"% Selbstbehalt")</f>
        <v>außergew. Belastungen -10% Selbstbehalt</v>
      </c>
      <c r="B56" s="84"/>
      <c r="C56" s="74">
        <f>ROUND(IF(E56&lt;F56,0,(E56-F56)*-1),2)</f>
        <v>0</v>
      </c>
      <c r="D56" s="3"/>
      <c r="E56" s="75"/>
      <c r="F56" s="76">
        <f>ROUND(C55*F55,2)</f>
        <v>2055.7399999999998</v>
      </c>
      <c r="G56" s="103"/>
      <c r="H56" s="173"/>
      <c r="I56" s="15"/>
    </row>
    <row r="57" spans="1:9" ht="13.5" customHeight="1">
      <c r="A57" s="22" t="s">
        <v>51</v>
      </c>
      <c r="B57" s="22"/>
      <c r="C57" s="46"/>
      <c r="D57" s="22"/>
      <c r="E57" s="121"/>
      <c r="F57" s="24"/>
      <c r="G57" s="103"/>
      <c r="H57" s="15"/>
      <c r="I57" s="15"/>
    </row>
    <row r="58" spans="1:9" s="20" customFormat="1" ht="12">
      <c r="A58" s="70" t="s">
        <v>169</v>
      </c>
      <c r="B58" s="86">
        <v>1</v>
      </c>
      <c r="C58" s="80">
        <f>ROUND(IF(SUM(C55:C57)&lt;0,0,SUM(C55:C57)),2)</f>
        <v>20557.349999999999</v>
      </c>
      <c r="E58" s="87">
        <f>F58/C58</f>
        <v>-9.3164245391550965E-2</v>
      </c>
      <c r="F58" s="23">
        <f>ROUND(SUM(D60:D66),2)</f>
        <v>-1915.21</v>
      </c>
      <c r="G58" s="315" t="s">
        <v>146</v>
      </c>
      <c r="H58" s="23"/>
    </row>
    <row r="59" spans="1:9" s="20" customFormat="1" ht="3" customHeight="1">
      <c r="A59" s="70"/>
      <c r="B59" s="86"/>
      <c r="C59" s="74"/>
      <c r="E59" s="87"/>
      <c r="F59" s="23"/>
      <c r="G59" s="103"/>
      <c r="H59" s="23"/>
    </row>
    <row r="60" spans="1:9" s="20" customFormat="1">
      <c r="A60" s="131">
        <v>11693</v>
      </c>
      <c r="B60" s="306">
        <v>0</v>
      </c>
      <c r="C60" s="134">
        <f>IF($C$58&gt;A60,A60,$C$58)</f>
        <v>11693</v>
      </c>
      <c r="D60" s="135">
        <f t="shared" ref="D60:D66" si="5">ROUND(B60*C60,4)</f>
        <v>0</v>
      </c>
      <c r="F60" s="23"/>
      <c r="G60" s="170"/>
      <c r="H60" s="23"/>
    </row>
    <row r="61" spans="1:9" s="20" customFormat="1">
      <c r="A61" s="131">
        <v>19134</v>
      </c>
      <c r="B61" s="306">
        <v>-0.2</v>
      </c>
      <c r="C61" s="134">
        <f>IF($C$58&gt;A61,A61-A60,$C$58-C60)</f>
        <v>7441</v>
      </c>
      <c r="D61" s="135">
        <f t="shared" si="5"/>
        <v>-1488.2</v>
      </c>
      <c r="F61" s="23"/>
      <c r="G61" s="170">
        <f>IF(C61&gt;0,B61,"")</f>
        <v>-0.2</v>
      </c>
      <c r="H61" s="23"/>
    </row>
    <row r="62" spans="1:9" s="20" customFormat="1">
      <c r="A62" s="131">
        <v>32075</v>
      </c>
      <c r="B62" s="306">
        <v>-0.3</v>
      </c>
      <c r="C62" s="134">
        <f>IF($C$58&gt;A62,A62-A61,$C$58-SUM($C$60:C61))</f>
        <v>1423.3499999999985</v>
      </c>
      <c r="D62" s="135">
        <f t="shared" si="5"/>
        <v>-427.005</v>
      </c>
      <c r="F62" s="23"/>
      <c r="G62" s="170">
        <f>IF(C62&gt;0,B62-B61,"")</f>
        <v>-9.9999999999999978E-2</v>
      </c>
      <c r="H62" s="23"/>
    </row>
    <row r="63" spans="1:9" s="20" customFormat="1">
      <c r="A63" s="131">
        <v>62080</v>
      </c>
      <c r="B63" s="306">
        <v>-0.41</v>
      </c>
      <c r="C63" s="134">
        <f>IF($C$58&gt;A63,A63-A62,$C$58-SUM($C$60:C62))</f>
        <v>0</v>
      </c>
      <c r="D63" s="135">
        <f t="shared" si="5"/>
        <v>0</v>
      </c>
      <c r="F63" s="23"/>
      <c r="G63" s="170" t="str">
        <f t="shared" ref="G63:G66" si="6">IF(C63&gt;0,B63-B62,"")</f>
        <v/>
      </c>
      <c r="H63" s="23"/>
    </row>
    <row r="64" spans="1:9" s="20" customFormat="1">
      <c r="A64" s="131">
        <v>93120</v>
      </c>
      <c r="B64" s="306">
        <v>-0.48</v>
      </c>
      <c r="C64" s="134">
        <f>IF($C$58&gt;A64,A64-A63,$C$58-SUM($C$60:C63))</f>
        <v>0</v>
      </c>
      <c r="D64" s="135">
        <f t="shared" si="5"/>
        <v>0</v>
      </c>
      <c r="F64" s="23"/>
      <c r="G64" s="170" t="str">
        <f t="shared" si="6"/>
        <v/>
      </c>
      <c r="H64" s="23"/>
    </row>
    <row r="65" spans="1:8" s="20" customFormat="1">
      <c r="A65" s="131">
        <v>1000000</v>
      </c>
      <c r="B65" s="306">
        <v>-0.5</v>
      </c>
      <c r="C65" s="134">
        <f>IF($C$58&gt;A65,A65-A64,$C$58-SUM($C$60:C64))</f>
        <v>0</v>
      </c>
      <c r="D65" s="135">
        <f t="shared" si="5"/>
        <v>0</v>
      </c>
      <c r="F65" s="23"/>
      <c r="G65" s="170" t="str">
        <f t="shared" si="6"/>
        <v/>
      </c>
      <c r="H65" s="23"/>
    </row>
    <row r="66" spans="1:8" s="20" customFormat="1">
      <c r="A66" s="133"/>
      <c r="B66" s="306">
        <v>-0.55000000000000004</v>
      </c>
      <c r="C66" s="134">
        <f>$C$58-SUM($C$60:C65)</f>
        <v>0</v>
      </c>
      <c r="D66" s="135">
        <f t="shared" si="5"/>
        <v>0</v>
      </c>
      <c r="F66" s="23"/>
      <c r="G66" s="170" t="str">
        <f t="shared" si="6"/>
        <v/>
      </c>
      <c r="H66" s="23"/>
    </row>
    <row r="67" spans="1:8" s="20" customFormat="1" ht="1.8" customHeight="1">
      <c r="A67" s="70"/>
      <c r="B67" s="86"/>
      <c r="C67" s="74"/>
      <c r="E67" s="87"/>
      <c r="F67" s="23"/>
      <c r="G67" s="103"/>
      <c r="H67" s="23"/>
    </row>
    <row r="68" spans="1:8" s="20" customFormat="1">
      <c r="A68" s="64" t="s">
        <v>171</v>
      </c>
      <c r="B68" s="88">
        <v>0</v>
      </c>
      <c r="C68" s="74"/>
      <c r="E68" s="87">
        <f t="shared" ref="E68:E71" si="7">F68/C$58</f>
        <v>0</v>
      </c>
      <c r="F68" s="90"/>
      <c r="G68" s="103"/>
      <c r="H68" s="173"/>
    </row>
    <row r="69" spans="1:8" s="20" customFormat="1">
      <c r="A69" s="64" t="s">
        <v>172</v>
      </c>
      <c r="B69" s="88">
        <v>0</v>
      </c>
      <c r="C69" s="74"/>
      <c r="E69" s="87">
        <f t="shared" si="7"/>
        <v>0</v>
      </c>
      <c r="F69" s="90"/>
      <c r="G69" s="103"/>
      <c r="H69" s="23"/>
    </row>
    <row r="70" spans="1:8" s="20" customFormat="1" hidden="1">
      <c r="A70" s="174" t="s">
        <v>53</v>
      </c>
      <c r="B70" s="86"/>
      <c r="C70" s="74"/>
      <c r="E70" s="87"/>
      <c r="F70" s="175">
        <f>ROUND(IF(SUM(F58,F68)&gt;0,F69,SUM(F58,F68:F69)),2)</f>
        <v>-1915.21</v>
      </c>
      <c r="G70" s="103"/>
      <c r="H70" s="23"/>
    </row>
    <row r="71" spans="1:8" s="20" customFormat="1">
      <c r="A71" s="64" t="s">
        <v>8</v>
      </c>
      <c r="B71" s="313"/>
      <c r="C71" s="124" t="s">
        <v>167</v>
      </c>
      <c r="E71" s="87">
        <f t="shared" si="7"/>
        <v>0</v>
      </c>
      <c r="F71" s="74">
        <f>IF(ISBLANK(B71),0,IF(B71=1,520,IF(B71=2,704,936)))</f>
        <v>0</v>
      </c>
      <c r="G71" s="72" t="str">
        <f>IF(B71&gt;2,"MKZ","")</f>
        <v/>
      </c>
      <c r="H71" s="176" t="str">
        <f>IF(G71="MKZ","Info zum Mehrkindzuschlag (MKZ) seit 2011","")</f>
        <v/>
      </c>
    </row>
    <row r="72" spans="1:8" s="20" customFormat="1">
      <c r="A72" s="19" t="s">
        <v>52</v>
      </c>
      <c r="B72" s="313"/>
      <c r="C72" s="314" t="s">
        <v>168</v>
      </c>
      <c r="D72" s="19"/>
      <c r="E72" s="87">
        <f>F72/C$58</f>
        <v>0</v>
      </c>
      <c r="F72" s="74">
        <f>IF(ISBLANK(B72),0,B72*232)</f>
        <v>0</v>
      </c>
      <c r="G72" s="77"/>
    </row>
    <row r="73" spans="1:8" s="20" customFormat="1" ht="13.2" hidden="1" customHeight="1">
      <c r="A73" s="79" t="s">
        <v>53</v>
      </c>
      <c r="B73" s="79"/>
      <c r="C73" s="80"/>
      <c r="D73" s="79"/>
      <c r="E73" s="91"/>
      <c r="F73" s="80">
        <f>ROUND(SUM(F70:F72),2)</f>
        <v>-1915.21</v>
      </c>
      <c r="G73" s="100" t="str">
        <f>IF(G72="inkl. MKZ für",IF(ISBLANK(G74),ROUND((SUM(B71,B72)-2)*12,0),""),"")</f>
        <v/>
      </c>
    </row>
    <row r="74" spans="1:8" s="20" customFormat="1" ht="12.6" customHeight="1">
      <c r="A74" s="25" t="s">
        <v>54</v>
      </c>
      <c r="B74" s="92">
        <f>IF(F74&gt;0,1,0)</f>
        <v>0</v>
      </c>
      <c r="C74" s="74"/>
      <c r="E74" s="87">
        <f>F74/C$58</f>
        <v>0</v>
      </c>
      <c r="F74" s="90"/>
      <c r="G74" s="102"/>
      <c r="H74" s="173"/>
    </row>
    <row r="75" spans="1:8" s="20" customFormat="1">
      <c r="A75" s="93" t="str">
        <f>IF(F75&lt;=0,"Einkommensteuer (ESt) des Jahres","ESt-Gutschrift aus Negativsteuer")</f>
        <v>Einkommensteuer (ESt) des Jahres</v>
      </c>
      <c r="B75" s="93"/>
      <c r="C75" s="80">
        <f>F75</f>
        <v>-1915</v>
      </c>
      <c r="D75" s="51">
        <f>ROUND(C75/C37,3)</f>
        <v>-6.9000000000000006E-2</v>
      </c>
      <c r="E75" s="91">
        <f>SUM(E58:E74)</f>
        <v>-9.3164245391550965E-2</v>
      </c>
      <c r="F75" s="80">
        <f>ROUND(IF(F73&gt;0,F73,IF(SUM(F73:F74)&gt;0,0,SUM(F73:F74))),0)</f>
        <v>-1915</v>
      </c>
      <c r="G75" s="74" t="str">
        <f>IF(G72="inkl. MKZ für",IF(SUM(B71:B72)&gt;2,IF(ISBLANK(G74),ROUND(G73*20,2),ROUND(G74*20,2)),""),"")</f>
        <v/>
      </c>
    </row>
    <row r="76" spans="1:8" s="20" customFormat="1" ht="13.5" customHeight="1" thickBot="1">
      <c r="A76" s="94" t="s">
        <v>170</v>
      </c>
      <c r="B76" s="95"/>
      <c r="C76" s="96">
        <f>SUM(C58,C75)</f>
        <v>18642.349999999999</v>
      </c>
      <c r="D76" s="122">
        <f>ROUND(C76/C37,3)</f>
        <v>0.67</v>
      </c>
      <c r="E76" s="323" t="str">
        <f>IF(C58&lt;=A60,"",CONCATENATE(" (Grenzsteuersatz .. ",SUM(G61:G66)*-100," %)"))</f>
        <v xml:space="preserve"> (Grenzsteuersatz .. 30 %)</v>
      </c>
      <c r="F76" s="323"/>
    </row>
    <row r="77" spans="1:8" s="20" customFormat="1" ht="29.25" customHeight="1" thickTop="1">
      <c r="A77" s="26"/>
      <c r="B77" s="26"/>
      <c r="C77" s="27"/>
      <c r="D77" s="27"/>
      <c r="E77" s="27"/>
      <c r="F77" s="39"/>
    </row>
    <row r="78" spans="1:8" ht="12">
      <c r="A78" s="1" t="s">
        <v>63</v>
      </c>
      <c r="B78" s="2" t="s">
        <v>0</v>
      </c>
      <c r="C78" s="2" t="s">
        <v>1</v>
      </c>
      <c r="D78" s="34" t="s">
        <v>4</v>
      </c>
      <c r="E78" s="35"/>
      <c r="F78" s="104" t="s">
        <v>58</v>
      </c>
    </row>
    <row r="79" spans="1:8">
      <c r="A79" s="4" t="s">
        <v>5</v>
      </c>
      <c r="B79" s="53">
        <f>ROUND(B11,2)</f>
        <v>3000</v>
      </c>
      <c r="C79" s="18">
        <f>B79*12</f>
        <v>36000</v>
      </c>
      <c r="D79" s="57">
        <v>1</v>
      </c>
    </row>
    <row r="80" spans="1:8">
      <c r="A80" s="4" t="s">
        <v>92</v>
      </c>
      <c r="B80" s="54">
        <f>ROUND(SUM(B14:B16,B18:B23,B25:B30,B32:B33),2)</f>
        <v>0</v>
      </c>
      <c r="C80" s="18">
        <f>B80*12</f>
        <v>0</v>
      </c>
      <c r="D80" s="57">
        <f>ROUND(B80/B79,3)</f>
        <v>0</v>
      </c>
    </row>
    <row r="81" spans="1:6">
      <c r="A81" s="16" t="s">
        <v>7</v>
      </c>
      <c r="B81" s="53">
        <f>ROUND(B50,2)</f>
        <v>-938.89</v>
      </c>
      <c r="C81" s="18">
        <f>B81*12</f>
        <v>-11266.68</v>
      </c>
      <c r="D81" s="57">
        <f>ROUND(B81/B79,3)</f>
        <v>-0.313</v>
      </c>
      <c r="E81" s="123" t="str">
        <f>CONCATENATE(" (davon  ",ROUND(SUM(C43,C81),2)," Nachforderung)")</f>
        <v xml:space="preserve"> (davon  -3106,68 Nachforderung)</v>
      </c>
    </row>
    <row r="82" spans="1:6">
      <c r="A82" s="4" t="s">
        <v>173</v>
      </c>
      <c r="B82" s="53">
        <f>ROUND(C75/12,2)</f>
        <v>-159.58000000000001</v>
      </c>
      <c r="C82" s="18">
        <f>B82*12</f>
        <v>-1914.96</v>
      </c>
      <c r="D82" s="57">
        <f>ROUND(B82/B79,3)</f>
        <v>-5.2999999999999999E-2</v>
      </c>
    </row>
    <row r="83" spans="1:6" ht="12" thickBot="1">
      <c r="A83" s="8" t="s">
        <v>55</v>
      </c>
      <c r="B83" s="55">
        <f>ROUND(SUM(B79:B82),2)</f>
        <v>1901.53</v>
      </c>
      <c r="C83" s="28">
        <f>B83*12</f>
        <v>22818.36</v>
      </c>
      <c r="D83" s="58">
        <f>ROUND(B83/B79,4)</f>
        <v>0.63380000000000003</v>
      </c>
      <c r="E83" s="38"/>
      <c r="F83" s="37"/>
    </row>
    <row r="84" spans="1:6" ht="12.6" thickTop="1" thickBot="1">
      <c r="A84" s="29" t="s">
        <v>56</v>
      </c>
      <c r="B84" s="56">
        <f>ROUND(B83*12/14,2)</f>
        <v>1629.88</v>
      </c>
      <c r="C84" s="97"/>
      <c r="D84" s="98"/>
      <c r="E84" s="99"/>
      <c r="F84" s="99"/>
    </row>
    <row r="85" spans="1:6" s="20" customFormat="1" ht="25.5" customHeight="1" thickTop="1">
      <c r="A85" s="26"/>
      <c r="B85" s="26"/>
      <c r="C85" s="27"/>
      <c r="D85" s="27"/>
      <c r="E85" s="27"/>
      <c r="F85" s="39"/>
    </row>
    <row r="86" spans="1:6" ht="13.2">
      <c r="A86" s="108" t="s">
        <v>64</v>
      </c>
      <c r="B86" s="2" t="s">
        <v>0</v>
      </c>
      <c r="C86" s="2" t="s">
        <v>1</v>
      </c>
      <c r="D86" s="34"/>
      <c r="E86" s="35"/>
      <c r="F86" s="104" t="s">
        <v>58</v>
      </c>
    </row>
    <row r="87" spans="1:6" ht="13.5" customHeight="1">
      <c r="A87" s="20" t="s">
        <v>59</v>
      </c>
      <c r="B87" s="105">
        <f>C87/12</f>
        <v>2061.1124999999997</v>
      </c>
      <c r="C87" s="105">
        <f>C11+C34+C50-C17-C31-C33</f>
        <v>24733.35</v>
      </c>
    </row>
    <row r="88" spans="1:6">
      <c r="A88" s="20" t="s">
        <v>60</v>
      </c>
      <c r="B88" s="105">
        <f>C88/12</f>
        <v>0</v>
      </c>
      <c r="C88" s="105">
        <f>C33</f>
        <v>0</v>
      </c>
    </row>
    <row r="89" spans="1:6">
      <c r="A89" s="93" t="s">
        <v>61</v>
      </c>
      <c r="B89" s="80">
        <f>SUM(B87:B88)</f>
        <v>2061.1124999999997</v>
      </c>
      <c r="C89" s="80">
        <f>SUM(C87:C88)</f>
        <v>24733.35</v>
      </c>
    </row>
    <row r="90" spans="1:6">
      <c r="A90" s="20" t="s">
        <v>62</v>
      </c>
      <c r="B90" s="105">
        <f>C90/12</f>
        <v>0</v>
      </c>
      <c r="C90" s="105">
        <f>C17</f>
        <v>0</v>
      </c>
    </row>
    <row r="91" spans="1:6" ht="12" thickBot="1">
      <c r="A91" s="106" t="str">
        <f>IF(C91&lt;0,"   V e r l u s t","   G e w i n n   ( Überschuß)")</f>
        <v xml:space="preserve">   G e w i n n   ( Überschuß)</v>
      </c>
      <c r="B91" s="107">
        <f>ROUND(SUM(B89:B90),2)</f>
        <v>2061.11</v>
      </c>
      <c r="C91" s="107">
        <f>ROUND(SUM(C89:C90),2)</f>
        <v>24733.35</v>
      </c>
      <c r="D91" s="109"/>
      <c r="E91" s="37"/>
      <c r="F91" s="37"/>
    </row>
    <row r="92" spans="1:6" s="20" customFormat="1" ht="25.5" customHeight="1" thickTop="1">
      <c r="A92" s="26"/>
      <c r="B92" s="26"/>
      <c r="C92" s="27"/>
      <c r="D92" s="27"/>
      <c r="E92" s="27"/>
      <c r="F92" s="39"/>
    </row>
    <row r="93" spans="1:6" ht="13.2">
      <c r="A93" s="108" t="s">
        <v>65</v>
      </c>
      <c r="B93" s="2" t="s">
        <v>0</v>
      </c>
      <c r="C93" s="2" t="s">
        <v>1</v>
      </c>
      <c r="D93" s="34"/>
      <c r="E93" s="35"/>
      <c r="F93" s="104" t="s">
        <v>58</v>
      </c>
    </row>
    <row r="94" spans="1:6" ht="12.75" customHeight="1">
      <c r="A94" s="4" t="s">
        <v>66</v>
      </c>
      <c r="C94" s="113"/>
    </row>
    <row r="95" spans="1:6">
      <c r="A95" s="110" t="s">
        <v>67</v>
      </c>
      <c r="B95" s="111"/>
      <c r="C95" s="46"/>
    </row>
    <row r="96" spans="1:6" ht="14.25" customHeight="1">
      <c r="A96" s="4" t="s">
        <v>68</v>
      </c>
      <c r="C96" s="18">
        <f>SUM(C94:C95)</f>
        <v>0</v>
      </c>
    </row>
    <row r="97" spans="1:9">
      <c r="A97" s="110" t="s">
        <v>69</v>
      </c>
      <c r="B97" s="111"/>
      <c r="C97" s="46"/>
      <c r="D97" s="114"/>
      <c r="E97" s="112">
        <f>SUM(C96:C97)</f>
        <v>0</v>
      </c>
    </row>
    <row r="98" spans="1:9" ht="17.25" customHeight="1">
      <c r="A98" s="4" t="s">
        <v>70</v>
      </c>
      <c r="B98" s="18">
        <f>C98/12</f>
        <v>1901.53</v>
      </c>
      <c r="C98" s="18">
        <f>C83</f>
        <v>22818.36</v>
      </c>
    </row>
    <row r="99" spans="1:9">
      <c r="A99" s="110" t="s">
        <v>71</v>
      </c>
      <c r="B99" s="46"/>
      <c r="C99" s="112">
        <f>B99*12</f>
        <v>0</v>
      </c>
      <c r="D99" s="114"/>
      <c r="E99" s="112">
        <f>SUM(C98:C99)</f>
        <v>22818.36</v>
      </c>
    </row>
    <row r="100" spans="1:9" ht="13.5" customHeight="1">
      <c r="A100" s="4" t="s">
        <v>72</v>
      </c>
      <c r="B100" s="18">
        <f>C100/12</f>
        <v>0</v>
      </c>
      <c r="C100" s="113"/>
      <c r="E100" s="18">
        <f>C100</f>
        <v>0</v>
      </c>
    </row>
    <row r="101" spans="1:9" ht="15" customHeight="1" thickBot="1">
      <c r="A101" s="106" t="str">
        <f>IF(C101&lt;0,"   U n t e r d e c k u n g   gesamt","   Ü b e r d e c k u n g   gesamt")</f>
        <v xml:space="preserve">   Ü b e r d e c k u n g   gesamt</v>
      </c>
      <c r="B101" s="9"/>
      <c r="C101" s="28">
        <f>SUM(C96:C100)</f>
        <v>22818.36</v>
      </c>
      <c r="D101" s="109"/>
      <c r="E101" s="28">
        <f>SUM(E97:E100)</f>
        <v>22818.36</v>
      </c>
      <c r="F101" s="37"/>
    </row>
    <row r="102" spans="1:9" s="20" customFormat="1" ht="25.5" customHeight="1" thickTop="1">
      <c r="A102" s="26"/>
      <c r="B102" s="26"/>
      <c r="C102" s="27"/>
      <c r="D102" s="27"/>
      <c r="E102" s="27"/>
      <c r="F102" s="39"/>
    </row>
    <row r="103" spans="1:9">
      <c r="C103" s="5"/>
    </row>
    <row r="104" spans="1:9">
      <c r="C104" s="5"/>
    </row>
    <row r="105" spans="1:9">
      <c r="C105" s="5"/>
    </row>
    <row r="106" spans="1:9">
      <c r="C106" s="5"/>
    </row>
    <row r="107" spans="1:9">
      <c r="C107" s="5"/>
    </row>
    <row r="108" spans="1:9">
      <c r="C108" s="5"/>
    </row>
    <row r="109" spans="1:9">
      <c r="C109" s="5"/>
    </row>
    <row r="110" spans="1:9">
      <c r="C110" s="5"/>
    </row>
    <row r="111" spans="1:9">
      <c r="C111" s="5"/>
    </row>
    <row r="112" spans="1:9" s="7" customFormat="1">
      <c r="A112" s="4"/>
      <c r="B112" s="5"/>
      <c r="C112" s="5"/>
      <c r="E112" s="3"/>
      <c r="F112" s="3"/>
      <c r="G112" s="3"/>
      <c r="H112" s="3"/>
      <c r="I112" s="3"/>
    </row>
    <row r="113" spans="1:9" s="7" customFormat="1">
      <c r="A113" s="4"/>
      <c r="B113" s="5"/>
      <c r="C113" s="5"/>
      <c r="E113" s="3"/>
      <c r="F113" s="3"/>
      <c r="G113" s="3"/>
      <c r="H113" s="3"/>
      <c r="I113" s="3"/>
    </row>
    <row r="114" spans="1:9" s="7" customFormat="1">
      <c r="A114" s="4"/>
      <c r="B114" s="5"/>
      <c r="C114" s="5"/>
      <c r="E114" s="3"/>
      <c r="F114" s="3"/>
      <c r="G114" s="3"/>
      <c r="H114" s="3"/>
      <c r="I114" s="3"/>
    </row>
    <row r="115" spans="1:9" s="7" customFormat="1">
      <c r="A115" s="4"/>
      <c r="B115" s="5"/>
      <c r="C115" s="5"/>
      <c r="E115" s="3"/>
      <c r="F115" s="3"/>
      <c r="G115" s="3"/>
      <c r="H115" s="3"/>
      <c r="I115" s="3"/>
    </row>
    <row r="116" spans="1:9" s="7" customFormat="1">
      <c r="A116" s="4"/>
      <c r="B116" s="5"/>
      <c r="C116" s="5"/>
      <c r="E116" s="3"/>
      <c r="F116" s="3"/>
      <c r="G116" s="3"/>
      <c r="H116" s="3"/>
      <c r="I116" s="3"/>
    </row>
    <row r="117" spans="1:9" s="7" customFormat="1">
      <c r="A117" s="4"/>
      <c r="B117" s="5"/>
      <c r="C117" s="5"/>
      <c r="E117" s="3"/>
      <c r="F117" s="3"/>
      <c r="G117" s="3"/>
      <c r="H117" s="3"/>
      <c r="I117" s="3"/>
    </row>
    <row r="118" spans="1:9" s="7" customFormat="1">
      <c r="A118" s="4"/>
      <c r="B118" s="5"/>
      <c r="C118" s="5"/>
      <c r="E118" s="3"/>
      <c r="F118" s="3"/>
      <c r="G118" s="3"/>
      <c r="H118" s="3"/>
      <c r="I118" s="3"/>
    </row>
    <row r="119" spans="1:9" s="7" customFormat="1">
      <c r="A119" s="4"/>
      <c r="B119" s="5"/>
      <c r="C119" s="5"/>
      <c r="E119" s="3"/>
      <c r="F119" s="3"/>
      <c r="G119" s="3"/>
      <c r="H119" s="3"/>
      <c r="I119" s="3"/>
    </row>
    <row r="120" spans="1:9" s="7" customFormat="1">
      <c r="A120" s="4"/>
      <c r="B120" s="5"/>
      <c r="C120" s="5"/>
      <c r="E120" s="3"/>
      <c r="F120" s="3"/>
      <c r="G120" s="3"/>
      <c r="H120" s="3"/>
      <c r="I120" s="3"/>
    </row>
    <row r="121" spans="1:9" s="7" customFormat="1">
      <c r="A121" s="4"/>
      <c r="B121" s="5"/>
      <c r="C121" s="5"/>
      <c r="E121" s="3"/>
      <c r="F121" s="3"/>
      <c r="G121" s="3"/>
      <c r="H121" s="3"/>
      <c r="I121" s="3"/>
    </row>
    <row r="122" spans="1:9" s="7" customFormat="1">
      <c r="A122" s="4"/>
      <c r="B122" s="5"/>
      <c r="C122" s="5"/>
      <c r="E122" s="3"/>
      <c r="F122" s="3"/>
      <c r="G122" s="3"/>
      <c r="H122" s="3"/>
      <c r="I122" s="3"/>
    </row>
    <row r="123" spans="1:9" s="7" customFormat="1">
      <c r="A123" s="4"/>
      <c r="B123" s="5"/>
      <c r="C123" s="5"/>
      <c r="E123" s="3"/>
      <c r="F123" s="3"/>
      <c r="G123" s="3"/>
      <c r="H123" s="3"/>
      <c r="I123" s="3"/>
    </row>
  </sheetData>
  <sheetProtection password="C837" sheet="1" objects="1" scenarios="1" autoFilter="0"/>
  <mergeCells count="4">
    <mergeCell ref="A1:D1"/>
    <mergeCell ref="E1:F1"/>
    <mergeCell ref="D45:F45"/>
    <mergeCell ref="E76:F76"/>
  </mergeCells>
  <conditionalFormatting sqref="G72">
    <cfRule type="expression" dxfId="226" priority="11" stopIfTrue="1">
      <formula>AND(B71&gt;2)</formula>
    </cfRule>
  </conditionalFormatting>
  <conditionalFormatting sqref="G75">
    <cfRule type="expression" dxfId="225" priority="13" stopIfTrue="1">
      <formula>AND(B71&gt;2)</formula>
    </cfRule>
  </conditionalFormatting>
  <conditionalFormatting sqref="G71">
    <cfRule type="expression" dxfId="224" priority="14" stopIfTrue="1">
      <formula>AND(B71&gt;2)</formula>
    </cfRule>
  </conditionalFormatting>
  <conditionalFormatting sqref="G73">
    <cfRule type="expression" dxfId="223" priority="16" stopIfTrue="1">
      <formula>AND(B71&gt;2)</formula>
    </cfRule>
  </conditionalFormatting>
  <conditionalFormatting sqref="E81">
    <cfRule type="expression" dxfId="222" priority="17" stopIfTrue="1">
      <formula>SUM(C43,C81)&lt;0</formula>
    </cfRule>
  </conditionalFormatting>
  <conditionalFormatting sqref="D41">
    <cfRule type="cellIs" dxfId="221" priority="18" stopIfTrue="1" operator="notBetween">
      <formula>0</formula>
      <formula>-0.15</formula>
    </cfRule>
  </conditionalFormatting>
  <conditionalFormatting sqref="F68">
    <cfRule type="expression" dxfId="220" priority="6">
      <formula>AND(SUM($F$58,$F$68)&gt;0)</formula>
    </cfRule>
  </conditionalFormatting>
  <conditionalFormatting sqref="G74">
    <cfRule type="expression" dxfId="219" priority="1" stopIfTrue="1">
      <formula>AND(B71&gt;2)</formula>
    </cfRule>
  </conditionalFormatting>
  <dataValidations count="27">
    <dataValidation type="list" allowBlank="1" showInputMessage="1" showErrorMessage="1" sqref="G74">
      <formula1>"1,2,3,4,5,6,7,8,9,10,11,12,13,14,15,16,17,18,19,20,21,22,23,24,25,26,27,28,29,30,31,32,33,34,35,36,37,38,39,40,41,42,43,44,45,46,47,48,49,50,51,52,53,54,55,56,57,58,59,60,"</formula1>
    </dataValidation>
    <dataValidation operator="equal" allowBlank="1" showInputMessage="1" showErrorMessage="1" errorTitle="RVO zu Absetzbetrag:" error="Wert Null oder 364 gefordert!" sqref="F71"/>
    <dataValidation allowBlank="1" showInputMessage="1" showErrorMessage="1" errorTitle="RVO zu Kinderzuschlag:" error="Eingabe lt. Liste. Die Werte steigen nach Anzahl der Kinder!" sqref="F72"/>
    <dataValidation type="decimal" allowBlank="1" showInputMessage="1" showErrorMessage="1" errorTitle="RVO: Fehler zu UV !!!" error="Die Eingabe erfordert einen negativen Wert!" sqref="C45">
      <formula1>-300</formula1>
      <formula2>0</formula2>
    </dataValidation>
    <dataValidation type="decimal" allowBlank="1" showInputMessage="1" showErrorMessage="1" errorTitle="RVO: Fehler zu Ausgabe!" error="Nur negative Werte zwischen Null und &quot;Minus&quot;  -999.999,- erlaubt!" sqref="C94:C95 B99 B14:B33">
      <formula1>-999999</formula1>
      <formula2>0</formula2>
    </dataValidation>
    <dataValidation type="decimal" allowBlank="1" showInputMessage="1" showErrorMessage="1" errorTitle="RVO: Fehler zu UV!" error="Die Eingabe erfordert einen negativen Wert._x000a_Derzeit sind Werte von -99,99 bis 0 zulässig." sqref="B45">
      <formula1>-99.99</formula1>
      <formula2>0.01</formula2>
    </dataValidation>
    <dataValidation type="decimal" allowBlank="1" showInputMessage="1" showErrorMessage="1" errorTitle="RVO: Fehler zu Einnahme!" error="Werte zwischen Null und 999.999,- erlaubt!" sqref="C97 B3:B10">
      <formula1>0</formula1>
      <formula2>999999</formula2>
    </dataValidation>
    <dataValidation type="decimal" allowBlank="1" showInputMessage="1" showErrorMessage="1" errorTitle="RVO zu AB:" error="Die Eingabe erlaubt einen negativen Wert von -40.000,- bis 0!" sqref="C57">
      <formula1>-40000</formula1>
      <formula2>0</formula2>
    </dataValidation>
    <dataValidation type="decimal" allowBlank="1" showInputMessage="1" showErrorMessage="1" errorTitle="RVO zu KiFB:" error="Die Eingabe erlaubt einen negativen Wert von -2200,- bis 0!" sqref="C54">
      <formula1>-3080</formula1>
      <formula2>0</formula2>
    </dataValidation>
    <dataValidation type="decimal" allowBlank="1" showInputMessage="1" showErrorMessage="1" errorTitle="RVO zu Ist-Werte AB" error="Die Eingabe erlaubt einen positiven Wert von 0 bis 40.000!" sqref="E56">
      <formula1>0</formula1>
      <formula2>40000</formula2>
    </dataValidation>
    <dataValidation type="decimal" allowBlank="1" showInputMessage="1" showErrorMessage="1" errorTitle="RVO zu Ist-Werte SA" error="Die Eingabe erlaubt einen positiven Wert von 0 bis 15.000!" sqref="E52:E53">
      <formula1>0</formula1>
      <formula2>15000</formula2>
    </dataValidation>
    <dataValidation type="decimal" allowBlank="1" showInputMessage="1" showErrorMessage="1" errorTitle="RVO zu Unterhaltsabsetzbetrag:" error="Eingabe derzeit auf 0 bis 2.000,- beschränkt!" sqref="F74">
      <formula1>0</formula1>
      <formula2>2000</formula2>
    </dataValidation>
    <dataValidation type="list" allowBlank="1" showInputMessage="1" showErrorMessage="1" errorTitle="RVO zu Mehrkinderzuschlag:" error="Auswahl auf Vorbelegung &quot;drop down&quot;-Liste beschränkt!" sqref="G72">
      <formula1>"inkl. MKZ für, ohne MKZ"</formula1>
    </dataValidation>
    <dataValidation type="decimal" operator="lessThanOrEqual" allowBlank="1" showInputMessage="1" showErrorMessage="1" errorTitle="RVO: Fehler zu Alv!" error="Die Eingabe ist auf einen negativen Wert beschränkt!" sqref="D49">
      <formula1>0</formula1>
    </dataValidation>
    <dataValidation type="decimal" operator="lessThanOrEqual" allowBlank="1" showInputMessage="1" showErrorMessage="1" errorTitle="RVO: Fehler zu KV!" error="Die Eingabe ist auf einen negativen Wert beschränkt!" sqref="D47">
      <formula1>0</formula1>
    </dataValidation>
    <dataValidation type="decimal" operator="lessThanOrEqual" allowBlank="1" showInputMessage="1" showErrorMessage="1" errorTitle="RVO: Fehler zu PV!" error="Die Eingabe ist auf einen negativen Wert beschränkt!" sqref="D46">
      <formula1>0</formula1>
    </dataValidation>
    <dataValidation type="decimal" operator="lessThanOrEqual" allowBlank="1" showInputMessage="1" showErrorMessage="1" errorTitle="RVO: Fehler zu Afg!" error="Die Eingabe ist auf einen negativen Wert beschränkt!" sqref="D48">
      <formula1>0</formula1>
    </dataValidation>
    <dataValidation type="decimal" operator="greaterThanOrEqual" allowBlank="1" showInputMessage="1" showErrorMessage="1" errorTitle="RVO: Fehler zur Bemessung!" error="Die Eingabe ist auf einen positiven Wert beschränkt!" sqref="E46:F49">
      <formula1>0</formula1>
    </dataValidation>
    <dataValidation type="decimal" allowBlank="1" showInputMessage="1" showErrorMessage="1" errorTitle="RVO: Fehler zu FBiG!" error="Nur negative Werte erlaubt!_x000a_GFB total max 13% d. Gewinns!" sqref="C42">
      <formula1>(C37-30000)*-0.13</formula1>
      <formula2>0</formula2>
    </dataValidation>
    <dataValidation type="decimal" allowBlank="1" showInputMessage="1" showErrorMessage="1" errorTitle="RVO: Fehler zu Grundfreibetrag!" error="Nur negative Werte bis Min -3.900,- erlaubt!" sqref="C41">
      <formula1>-4950</formula1>
      <formula2>0</formula2>
    </dataValidation>
    <dataValidation type="decimal" allowBlank="1" showInputMessage="1" showErrorMessage="1" sqref="F68">
      <formula1>0</formula1>
      <formula2>14999</formula2>
    </dataValidation>
    <dataValidation type="decimal" allowBlank="1" showInputMessage="1" showErrorMessage="1" sqref="F69">
      <formula1>0</formula1>
      <formula2>2499</formula2>
    </dataValidation>
    <dataValidation type="decimal" allowBlank="1" showInputMessage="1" showErrorMessage="1" errorTitle="Eingabefehler zu IFB 10%" error="Eingaben von -,- bis (Minus) -100.000,- möglich!" sqref="C38">
      <formula1>-100000</formula1>
      <formula2>0</formula2>
    </dataValidation>
    <dataValidation type="decimal" allowBlank="1" showInputMessage="1" showErrorMessage="1" errorTitle="Eingabefehler zu IFB 15%" error="Eingaben von -,- bis (Minus) -150.000,- möglich!" sqref="C39">
      <formula1>-150000</formula1>
      <formula2>0</formula2>
    </dataValidation>
    <dataValidation type="list" allowBlank="1" showInputMessage="1" showErrorMessage="1" sqref="B71">
      <formula1>"1,2,3"</formula1>
    </dataValidation>
    <dataValidation type="whole" allowBlank="1" showInputMessage="1" showErrorMessage="1" sqref="B72">
      <formula1>0</formula1>
      <formula2>15</formula2>
    </dataValidation>
    <dataValidation type="list" allowBlank="1" showInputMessage="1" showErrorMessage="1" sqref="D41">
      <mc:AlternateContent xmlns:x12ac="http://schemas.microsoft.com/office/spreadsheetml/2011/1/ac" xmlns:mc="http://schemas.openxmlformats.org/markup-compatibility/2006">
        <mc:Choice Requires="x12ac">
          <x12ac:list>"-0,15",0</x12ac:list>
        </mc:Choice>
        <mc:Fallback>
          <formula1>"-0,15,0"</formula1>
        </mc:Fallback>
      </mc:AlternateContent>
    </dataValidation>
  </dataValidations>
  <hyperlinks>
    <hyperlink ref="F36" r:id="rId1" display="www.rvo.at"/>
    <hyperlink ref="F78" r:id="rId2" display="www.rvo.at"/>
    <hyperlink ref="F86" r:id="rId3" display="www.rvo.at"/>
    <hyperlink ref="F93" r:id="rId4" display="www.rvo.at"/>
    <hyperlink ref="G46" r:id="rId5"/>
    <hyperlink ref="H71" r:id="rId6" display="https://www.frauen-familien-jugend.bka.gv.at/familie/finanzielle-unterstuetzungen/mehrkindzuschlag.html"/>
    <hyperlink ref="G53" r:id="rId7"/>
    <hyperlink ref="G38" r:id="rId8"/>
    <hyperlink ref="G58" r:id="rId9"/>
  </hyperlinks>
  <printOptions horizontalCentered="1" gridLines="1"/>
  <pageMargins left="0.35433070866141736" right="0.19685039370078741" top="0.47244094488188981" bottom="0.47244094488188981" header="0.23622047244094491" footer="0.23622047244094491"/>
  <pageSetup paperSize="9" scale="95" orientation="portrait" r:id="rId10"/>
  <headerFooter alignWithMargins="0">
    <oddHeader>&amp;L&amp;8&amp;F&amp;C&amp;8&amp;A&amp;R&amp;8&amp;D</oddHeader>
    <oddFooter>&amp;L&amp;8copyright © www.rvo.at</oddFooter>
  </headerFooter>
  <legacyDrawing r:id="rId1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Normal="100" workbookViewId="0">
      <pane ySplit="1" topLeftCell="A2" activePane="bottomLeft" state="frozen"/>
      <selection activeCell="G24" sqref="G24"/>
      <selection pane="bottomLeft" activeCell="A12" sqref="A12"/>
    </sheetView>
  </sheetViews>
  <sheetFormatPr baseColWidth="10" defaultColWidth="11.44140625" defaultRowHeight="11.4"/>
  <cols>
    <col min="1" max="1" width="12.44140625" style="168" customWidth="1"/>
    <col min="2" max="2" width="11.21875" style="169" customWidth="1"/>
    <col min="3" max="3" width="12.33203125" style="138" customWidth="1"/>
    <col min="4" max="4" width="11.5546875" style="167" customWidth="1"/>
    <col min="5" max="5" width="11.6640625" style="138" customWidth="1"/>
    <col min="6" max="6" width="10.6640625" style="138" hidden="1" customWidth="1"/>
    <col min="7" max="7" width="10.6640625" style="138" customWidth="1"/>
    <col min="8" max="8" width="11.44140625" style="138" bestFit="1" customWidth="1"/>
    <col min="9" max="16384" width="11.44140625" style="138"/>
  </cols>
  <sheetData>
    <row r="1" spans="1:11" ht="15" customHeight="1">
      <c r="A1" s="324" t="s">
        <v>177</v>
      </c>
      <c r="B1" s="324"/>
      <c r="C1" s="324"/>
      <c r="D1" s="324"/>
      <c r="E1" s="324"/>
      <c r="F1" s="307"/>
      <c r="G1" s="307" t="s">
        <v>58</v>
      </c>
      <c r="H1" s="137" t="s">
        <v>58</v>
      </c>
    </row>
    <row r="2" spans="1:11" ht="17.399999999999999" customHeight="1">
      <c r="A2" s="139" t="s">
        <v>176</v>
      </c>
      <c r="B2" s="140" t="s">
        <v>174</v>
      </c>
      <c r="C2" s="140" t="s">
        <v>106</v>
      </c>
      <c r="D2" s="141" t="s">
        <v>107</v>
      </c>
      <c r="E2" s="141" t="s">
        <v>108</v>
      </c>
      <c r="F2" s="141"/>
      <c r="H2" s="142"/>
      <c r="I2" s="143"/>
    </row>
    <row r="3" spans="1:11">
      <c r="A3" s="144">
        <v>11693</v>
      </c>
      <c r="B3" s="304">
        <v>0</v>
      </c>
      <c r="C3" s="146">
        <f>0-A3</f>
        <v>-11693</v>
      </c>
      <c r="D3" s="147">
        <v>0</v>
      </c>
      <c r="E3" s="304">
        <v>0</v>
      </c>
      <c r="F3" s="145"/>
      <c r="G3" s="143"/>
      <c r="J3" s="145"/>
    </row>
    <row r="4" spans="1:11">
      <c r="A4" s="144">
        <v>19134</v>
      </c>
      <c r="B4" s="304">
        <v>-0.2</v>
      </c>
      <c r="C4" s="146">
        <f t="shared" ref="C4:C8" si="0">A3-A4</f>
        <v>-7441</v>
      </c>
      <c r="D4" s="147">
        <f>B4*C4</f>
        <v>1488.2</v>
      </c>
      <c r="E4" s="304">
        <f t="shared" ref="E4:E9" si="1">B3-B4</f>
        <v>0.2</v>
      </c>
      <c r="F4" s="145"/>
      <c r="G4" s="145"/>
      <c r="J4" s="145"/>
    </row>
    <row r="5" spans="1:11">
      <c r="A5" s="144">
        <v>32075</v>
      </c>
      <c r="B5" s="304">
        <v>-0.3</v>
      </c>
      <c r="C5" s="146">
        <f t="shared" si="0"/>
        <v>-12941</v>
      </c>
      <c r="D5" s="147">
        <f>B5*C5+D4</f>
        <v>5370.5</v>
      </c>
      <c r="E5" s="304">
        <f t="shared" si="1"/>
        <v>9.9999999999999978E-2</v>
      </c>
      <c r="F5" s="145"/>
      <c r="G5" s="145"/>
      <c r="J5" s="145"/>
    </row>
    <row r="6" spans="1:11">
      <c r="A6" s="144">
        <v>62080</v>
      </c>
      <c r="B6" s="304">
        <v>-0.41</v>
      </c>
      <c r="C6" s="146">
        <f t="shared" si="0"/>
        <v>-30005</v>
      </c>
      <c r="D6" s="147">
        <f>B6*C6+D5</f>
        <v>17672.55</v>
      </c>
      <c r="E6" s="304">
        <f t="shared" si="1"/>
        <v>0.10999999999999999</v>
      </c>
      <c r="F6" s="145"/>
      <c r="G6" s="145"/>
      <c r="H6" s="145"/>
    </row>
    <row r="7" spans="1:11">
      <c r="A7" s="144">
        <v>93120</v>
      </c>
      <c r="B7" s="304">
        <v>-0.48</v>
      </c>
      <c r="C7" s="146">
        <f t="shared" si="0"/>
        <v>-31040</v>
      </c>
      <c r="D7" s="147">
        <f>B7*C7+D6</f>
        <v>32571.75</v>
      </c>
      <c r="E7" s="304">
        <f t="shared" si="1"/>
        <v>7.0000000000000007E-2</v>
      </c>
      <c r="F7" s="145"/>
      <c r="G7" s="145"/>
      <c r="H7" s="145"/>
    </row>
    <row r="8" spans="1:11">
      <c r="A8" s="144">
        <v>1000000</v>
      </c>
      <c r="B8" s="304">
        <v>-0.5</v>
      </c>
      <c r="C8" s="146">
        <f t="shared" si="0"/>
        <v>-906880</v>
      </c>
      <c r="D8" s="147">
        <f>B8*C8+D7</f>
        <v>486011.75</v>
      </c>
      <c r="E8" s="304">
        <f t="shared" si="1"/>
        <v>2.0000000000000018E-2</v>
      </c>
      <c r="F8" s="145"/>
      <c r="G8" s="145"/>
      <c r="H8" s="145"/>
    </row>
    <row r="9" spans="1:11">
      <c r="A9" s="148" t="s">
        <v>111</v>
      </c>
      <c r="B9" s="304">
        <v>-0.55000000000000004</v>
      </c>
      <c r="C9" s="149"/>
      <c r="D9" s="150"/>
      <c r="E9" s="304">
        <f t="shared" si="1"/>
        <v>5.0000000000000044E-2</v>
      </c>
      <c r="F9" s="145"/>
      <c r="G9" s="145"/>
      <c r="H9" s="145"/>
      <c r="I9" s="147"/>
      <c r="J9" s="147"/>
    </row>
    <row r="10" spans="1:11">
      <c r="A10" s="151"/>
      <c r="B10" s="145"/>
      <c r="C10" s="149"/>
      <c r="D10" s="150"/>
      <c r="E10" s="145"/>
      <c r="F10" s="145"/>
      <c r="G10" s="145"/>
      <c r="H10" s="145"/>
      <c r="I10" s="147"/>
      <c r="J10" s="147"/>
    </row>
    <row r="11" spans="1:11">
      <c r="A11" s="152" t="s">
        <v>112</v>
      </c>
      <c r="B11" s="153" t="s">
        <v>174</v>
      </c>
      <c r="C11" s="153" t="s">
        <v>175</v>
      </c>
      <c r="D11" s="154" t="s">
        <v>150</v>
      </c>
      <c r="E11" s="154" t="s">
        <v>178</v>
      </c>
      <c r="F11" s="154" t="s">
        <v>114</v>
      </c>
      <c r="G11" s="155"/>
      <c r="H11" s="153" t="s">
        <v>152</v>
      </c>
      <c r="I11" s="154" t="s">
        <v>178</v>
      </c>
    </row>
    <row r="12" spans="1:11" ht="18" customHeight="1">
      <c r="A12" s="156">
        <v>25000</v>
      </c>
      <c r="B12" s="305">
        <f>ROUND(IF(A12&lt;=A3,B3,IF(A12&lt;=A4,B4,IF(A12&lt;=A5,B5,IF(A12&lt;=A6,B6,IF(A12&lt;=A7,B7,IF(A12&lt;=A8,B8,B9)))))),3)</f>
        <v>-0.3</v>
      </c>
      <c r="C12" s="158">
        <f t="shared" ref="C12:C74" si="2">ROUND(IF(A12&lt;$A$3,0,IF(A12&lt;$A$4,(A12-$A$3)*$B$4,IF(A12&lt;$A$5,(A12-$A$4)*$B$5-$D$4,IF(A12&lt;$A$6,(A12-$A$5)*$B$6-$D$5,IF(A12&lt;$A$7,(A12-$A$6)*$B$7-$D$6,IF(A12&lt;$A$8,(A12-$A$7)*$B$8-$D$7,(A12-$A$8)*$B$9-$D$8)))))),2)</f>
        <v>-3248</v>
      </c>
      <c r="D12" s="159">
        <f>ROUND(IF(A12&lt;11000,0,IF(A12&lt;18000,(A12-11000)*-0.2,IF(A12&lt;31000,(A12-18000)*-0.325-1400,IF(A12&lt;60000,(A12-31000)*-0.42-5625,IF(A12&lt;90000,(A12-60000)*-0.48-17805,IF(A12&lt;1000000,(A12-90000)*-0.5-32205,(A12-1000000)*-0.55-487205)))))),2)</f>
        <v>-3675</v>
      </c>
      <c r="E12" s="159">
        <f>G12-D12</f>
        <v>427</v>
      </c>
      <c r="F12" s="159">
        <f t="shared" ref="F12:F74" si="3">ROUND(IF(A12&lt;=11000,0,IF(A12&lt;=25000,(A12-11000)*5110/14000,IF(A12&lt;=60000,(A12-25000)*15125/35000+5110,(A12-60000)*0.5+20235)))*-1,2)</f>
        <v>-5110</v>
      </c>
      <c r="G12" s="160">
        <f>ROUND(IF(A12&lt;11693,0,IF(A12&lt;19134,(A12-11693)*-0.2,IF(A12&lt;32075,(A12-19134)*-0.3-1488.2,IF(A12&lt;62080,(A12-32075)*-0.41-5370.5,IF(A12&lt;93120,(A12-62080)*-0.48-17672.55,IF(A12&lt;1000000,(A12-93120)*-0.5-32571.75,(A12-1000000)*-0.55-486011.75)))))),2)</f>
        <v>-3248</v>
      </c>
      <c r="H12" s="172">
        <f t="shared" ref="H12:H74" si="4">ROUND(C12/A12,4)</f>
        <v>-0.12989999999999999</v>
      </c>
      <c r="I12" s="172">
        <f t="shared" ref="I12:I74" si="5">ROUND(E12/A12,4)</f>
        <v>1.7100000000000001E-2</v>
      </c>
      <c r="J12" s="161" t="s">
        <v>118</v>
      </c>
      <c r="K12" s="138" t="s">
        <v>116</v>
      </c>
    </row>
    <row r="13" spans="1:11">
      <c r="A13" s="162">
        <v>11000</v>
      </c>
      <c r="B13" s="256">
        <f>ROUND(IF(A13&lt;=11000,0,IF(A13&lt;=18000,"-25 %",IF(A13&lt;=31000,"-35 %",IF(A13&lt;=60000,"-42 %",IF(A13&lt;=90000,"-48 %",IF(A13&lt;=1000000,"-50 %","-55 %")))))),2)</f>
        <v>0</v>
      </c>
      <c r="C13" s="147">
        <f t="shared" si="2"/>
        <v>0</v>
      </c>
      <c r="D13" s="164">
        <f t="shared" ref="D13:D74" si="6">ROUND(IF(A13&lt;11000,0,IF(A13&lt;18000,(A13-11000)*-0.2,IF(A13&lt;31000,(A13-18000)*-0.325-1400,IF(A13&lt;60000,(A13-31000)*-0.42-5625,IF(A13&lt;90000,(A13-60000)*-0.48-17805,IF(A13&lt;1000000,(A13-90000)*-0.5-32205,(A13-1000000)*-0.55-487205)))))),2)</f>
        <v>0</v>
      </c>
      <c r="E13" s="165">
        <f>C13-F13</f>
        <v>0</v>
      </c>
      <c r="F13" s="164">
        <f>ROUND(IF(A13&lt;=11000,0,IF(A13&lt;=25000,(A13-11000)*5110/14000,IF(A13&lt;=60000,(A13-25000)*15125/35000+5110,(A13-60000)*0.5+20235)))*-1,2)</f>
        <v>0</v>
      </c>
      <c r="G13" s="166">
        <f t="shared" ref="G13:G17" si="7">ROUND(IF(A13&lt;11000,0,IF(A13&lt;18000,(A13-11000)*-0.25,IF(A13&lt;31000,(A13-18000)*-0.35-1750,IF(A13&lt;60000,(A13-31000)*-0.42-6300,IF(A13&lt;90000,(A13-60000)*-0.48-18480,IF(A13&lt;1000000,(A13-90000)*-0.5-32880,(A13-1000000)*-0.55-487880)))))),2)</f>
        <v>0</v>
      </c>
      <c r="H13" s="299">
        <f t="shared" si="4"/>
        <v>0</v>
      </c>
      <c r="I13" s="299">
        <f t="shared" si="5"/>
        <v>0</v>
      </c>
      <c r="K13" s="300" t="s">
        <v>117</v>
      </c>
    </row>
    <row r="14" spans="1:11">
      <c r="A14" s="162">
        <v>12000</v>
      </c>
      <c r="B14" s="256">
        <v>-0.2</v>
      </c>
      <c r="C14" s="147">
        <f t="shared" si="2"/>
        <v>-61.4</v>
      </c>
      <c r="D14" s="164">
        <f t="shared" si="6"/>
        <v>-200</v>
      </c>
      <c r="E14" s="165">
        <f t="shared" ref="E14:E74" si="8">C14-D14</f>
        <v>138.6</v>
      </c>
      <c r="F14" s="164">
        <f t="shared" si="3"/>
        <v>-365</v>
      </c>
      <c r="G14" s="166">
        <f t="shared" si="7"/>
        <v>-250</v>
      </c>
      <c r="H14" s="299">
        <f t="shared" si="4"/>
        <v>-5.1000000000000004E-3</v>
      </c>
      <c r="I14" s="299">
        <f t="shared" si="5"/>
        <v>1.1599999999999999E-2</v>
      </c>
    </row>
    <row r="15" spans="1:11">
      <c r="A15" s="162">
        <v>13000</v>
      </c>
      <c r="B15" s="256">
        <v>-0.2</v>
      </c>
      <c r="C15" s="147">
        <f t="shared" si="2"/>
        <v>-261.39999999999998</v>
      </c>
      <c r="D15" s="164">
        <f t="shared" si="6"/>
        <v>-400</v>
      </c>
      <c r="E15" s="165">
        <f t="shared" si="8"/>
        <v>138.60000000000002</v>
      </c>
      <c r="F15" s="164">
        <f t="shared" si="3"/>
        <v>-730</v>
      </c>
      <c r="G15" s="166">
        <f t="shared" si="7"/>
        <v>-500</v>
      </c>
      <c r="H15" s="299">
        <f t="shared" si="4"/>
        <v>-2.01E-2</v>
      </c>
      <c r="I15" s="299">
        <f t="shared" si="5"/>
        <v>1.0699999999999999E-2</v>
      </c>
    </row>
    <row r="16" spans="1:11">
      <c r="A16" s="162">
        <v>14000</v>
      </c>
      <c r="B16" s="256">
        <v>-0.2</v>
      </c>
      <c r="C16" s="147">
        <f t="shared" si="2"/>
        <v>-461.4</v>
      </c>
      <c r="D16" s="164">
        <f t="shared" si="6"/>
        <v>-600</v>
      </c>
      <c r="E16" s="165">
        <f t="shared" si="8"/>
        <v>138.60000000000002</v>
      </c>
      <c r="F16" s="164">
        <f t="shared" si="3"/>
        <v>-1095</v>
      </c>
      <c r="G16" s="166">
        <f t="shared" si="7"/>
        <v>-750</v>
      </c>
      <c r="H16" s="299">
        <f t="shared" si="4"/>
        <v>-3.3000000000000002E-2</v>
      </c>
      <c r="I16" s="299">
        <f t="shared" si="5"/>
        <v>9.9000000000000008E-3</v>
      </c>
    </row>
    <row r="17" spans="1:9">
      <c r="A17" s="162">
        <v>15000</v>
      </c>
      <c r="B17" s="256">
        <v>-0.2</v>
      </c>
      <c r="C17" s="147">
        <f t="shared" si="2"/>
        <v>-661.4</v>
      </c>
      <c r="D17" s="164">
        <f t="shared" si="6"/>
        <v>-800</v>
      </c>
      <c r="E17" s="165">
        <f t="shared" si="8"/>
        <v>138.60000000000002</v>
      </c>
      <c r="F17" s="164">
        <f t="shared" si="3"/>
        <v>-1460</v>
      </c>
      <c r="G17" s="166">
        <f t="shared" si="7"/>
        <v>-1000</v>
      </c>
      <c r="H17" s="299">
        <f t="shared" si="4"/>
        <v>-4.41E-2</v>
      </c>
      <c r="I17" s="299">
        <f t="shared" si="5"/>
        <v>9.1999999999999998E-3</v>
      </c>
    </row>
    <row r="18" spans="1:9">
      <c r="A18" s="162">
        <v>16000</v>
      </c>
      <c r="B18" s="256">
        <v>-0.2</v>
      </c>
      <c r="C18" s="147">
        <f t="shared" si="2"/>
        <v>-861.4</v>
      </c>
      <c r="D18" s="164">
        <f t="shared" si="6"/>
        <v>-1000</v>
      </c>
      <c r="E18" s="165">
        <f t="shared" si="8"/>
        <v>138.60000000000002</v>
      </c>
      <c r="F18" s="164">
        <f t="shared" si="3"/>
        <v>-1825</v>
      </c>
      <c r="G18" s="166"/>
      <c r="H18" s="299">
        <f t="shared" si="4"/>
        <v>-5.3800000000000001E-2</v>
      </c>
      <c r="I18" s="299">
        <f t="shared" si="5"/>
        <v>8.6999999999999994E-3</v>
      </c>
    </row>
    <row r="19" spans="1:9">
      <c r="A19" s="162">
        <v>17000</v>
      </c>
      <c r="B19" s="256">
        <v>-0.2</v>
      </c>
      <c r="C19" s="147">
        <f t="shared" si="2"/>
        <v>-1061.4000000000001</v>
      </c>
      <c r="D19" s="164">
        <f t="shared" si="6"/>
        <v>-1200</v>
      </c>
      <c r="E19" s="165">
        <f t="shared" si="8"/>
        <v>138.59999999999991</v>
      </c>
      <c r="F19" s="164">
        <f t="shared" si="3"/>
        <v>-2190</v>
      </c>
      <c r="G19" s="166"/>
      <c r="H19" s="299">
        <f t="shared" si="4"/>
        <v>-6.2399999999999997E-2</v>
      </c>
      <c r="I19" s="299">
        <f t="shared" si="5"/>
        <v>8.2000000000000007E-3</v>
      </c>
    </row>
    <row r="20" spans="1:9">
      <c r="A20" s="162">
        <v>18000</v>
      </c>
      <c r="B20" s="256">
        <v>-0.2</v>
      </c>
      <c r="C20" s="147">
        <f t="shared" si="2"/>
        <v>-1261.4000000000001</v>
      </c>
      <c r="D20" s="164">
        <f t="shared" si="6"/>
        <v>-1400</v>
      </c>
      <c r="E20" s="165">
        <f t="shared" si="8"/>
        <v>138.59999999999991</v>
      </c>
      <c r="F20" s="164">
        <f t="shared" si="3"/>
        <v>-2555</v>
      </c>
      <c r="G20" s="166"/>
      <c r="H20" s="299">
        <f t="shared" si="4"/>
        <v>-7.0099999999999996E-2</v>
      </c>
      <c r="I20" s="299">
        <f t="shared" si="5"/>
        <v>7.7000000000000002E-3</v>
      </c>
    </row>
    <row r="21" spans="1:9">
      <c r="A21" s="162">
        <v>19000</v>
      </c>
      <c r="B21" s="256">
        <v>-0.2</v>
      </c>
      <c r="C21" s="147">
        <f t="shared" si="2"/>
        <v>-1461.4</v>
      </c>
      <c r="D21" s="164">
        <f t="shared" si="6"/>
        <v>-1725</v>
      </c>
      <c r="E21" s="165">
        <f t="shared" si="8"/>
        <v>263.59999999999991</v>
      </c>
      <c r="F21" s="164">
        <f t="shared" si="3"/>
        <v>-2920</v>
      </c>
      <c r="G21" s="166">
        <f t="shared" ref="G21:G74" si="9">ROUND(IF(A21&lt;11000,0,IF(A21&lt;18000,(A21-11000)*-0.25,IF(A21&lt;31000,(A21-18000)*-0.35-1750,IF(A21&lt;60000,(A21-31000)*-0.42-6300,IF(A21&lt;90000,(A21-60000)*-0.48-18480,IF(A21&lt;1000000,(A21-90000)*-0.5-32880,(A21-1000000)*-0.55-487880)))))),2)</f>
        <v>-2100</v>
      </c>
      <c r="H21" s="299">
        <f t="shared" si="4"/>
        <v>-7.6899999999999996E-2</v>
      </c>
      <c r="I21" s="299">
        <f t="shared" si="5"/>
        <v>1.3899999999999999E-2</v>
      </c>
    </row>
    <row r="22" spans="1:9">
      <c r="A22" s="162">
        <v>21000</v>
      </c>
      <c r="B22" s="256">
        <v>-0.3</v>
      </c>
      <c r="C22" s="147">
        <f t="shared" si="2"/>
        <v>-2048</v>
      </c>
      <c r="D22" s="164">
        <f t="shared" si="6"/>
        <v>-2375</v>
      </c>
      <c r="E22" s="165">
        <f t="shared" si="8"/>
        <v>327</v>
      </c>
      <c r="F22" s="164">
        <f t="shared" si="3"/>
        <v>-3650</v>
      </c>
      <c r="G22" s="166">
        <f t="shared" si="9"/>
        <v>-2800</v>
      </c>
      <c r="H22" s="299">
        <f t="shared" si="4"/>
        <v>-9.7500000000000003E-2</v>
      </c>
      <c r="I22" s="299">
        <f t="shared" si="5"/>
        <v>1.5599999999999999E-2</v>
      </c>
    </row>
    <row r="23" spans="1:9">
      <c r="A23" s="162">
        <v>23000</v>
      </c>
      <c r="B23" s="256">
        <v>-0.3</v>
      </c>
      <c r="C23" s="147">
        <f t="shared" si="2"/>
        <v>-2648</v>
      </c>
      <c r="D23" s="164">
        <f t="shared" si="6"/>
        <v>-3025</v>
      </c>
      <c r="E23" s="165">
        <f t="shared" si="8"/>
        <v>377</v>
      </c>
      <c r="F23" s="164">
        <f t="shared" si="3"/>
        <v>-4380</v>
      </c>
      <c r="G23" s="166">
        <f t="shared" si="9"/>
        <v>-3500</v>
      </c>
      <c r="H23" s="299">
        <f t="shared" si="4"/>
        <v>-0.11509999999999999</v>
      </c>
      <c r="I23" s="299">
        <f t="shared" si="5"/>
        <v>1.6400000000000001E-2</v>
      </c>
    </row>
    <row r="24" spans="1:9">
      <c r="A24" s="162">
        <v>25000</v>
      </c>
      <c r="B24" s="256">
        <v>-0.3</v>
      </c>
      <c r="C24" s="147">
        <f t="shared" si="2"/>
        <v>-3248</v>
      </c>
      <c r="D24" s="164">
        <f t="shared" si="6"/>
        <v>-3675</v>
      </c>
      <c r="E24" s="165">
        <f t="shared" si="8"/>
        <v>427</v>
      </c>
      <c r="F24" s="164">
        <f t="shared" si="3"/>
        <v>-5110</v>
      </c>
      <c r="G24" s="166">
        <f t="shared" si="9"/>
        <v>-4200</v>
      </c>
      <c r="H24" s="299">
        <f t="shared" si="4"/>
        <v>-0.12989999999999999</v>
      </c>
      <c r="I24" s="299">
        <f t="shared" si="5"/>
        <v>1.7100000000000001E-2</v>
      </c>
    </row>
    <row r="25" spans="1:9">
      <c r="A25" s="162">
        <v>27000</v>
      </c>
      <c r="B25" s="256">
        <v>-0.3</v>
      </c>
      <c r="C25" s="147">
        <f t="shared" si="2"/>
        <v>-3848</v>
      </c>
      <c r="D25" s="164">
        <f t="shared" si="6"/>
        <v>-4325</v>
      </c>
      <c r="E25" s="165">
        <f t="shared" si="8"/>
        <v>477</v>
      </c>
      <c r="F25" s="164">
        <f t="shared" si="3"/>
        <v>-5974.29</v>
      </c>
      <c r="G25" s="166">
        <f t="shared" si="9"/>
        <v>-4900</v>
      </c>
      <c r="H25" s="299">
        <f t="shared" si="4"/>
        <v>-0.14249999999999999</v>
      </c>
      <c r="I25" s="299">
        <f t="shared" si="5"/>
        <v>1.77E-2</v>
      </c>
    </row>
    <row r="26" spans="1:9">
      <c r="A26" s="162">
        <v>29000</v>
      </c>
      <c r="B26" s="256">
        <v>-0.3</v>
      </c>
      <c r="C26" s="147">
        <f t="shared" si="2"/>
        <v>-4448</v>
      </c>
      <c r="D26" s="164">
        <f t="shared" si="6"/>
        <v>-4975</v>
      </c>
      <c r="E26" s="165">
        <f t="shared" si="8"/>
        <v>527</v>
      </c>
      <c r="F26" s="164">
        <f t="shared" si="3"/>
        <v>-6838.57</v>
      </c>
      <c r="G26" s="166">
        <f t="shared" si="9"/>
        <v>-5600</v>
      </c>
      <c r="H26" s="299">
        <f t="shared" si="4"/>
        <v>-0.15340000000000001</v>
      </c>
      <c r="I26" s="299">
        <f t="shared" si="5"/>
        <v>1.8200000000000001E-2</v>
      </c>
    </row>
    <row r="27" spans="1:9">
      <c r="A27" s="162">
        <v>31000</v>
      </c>
      <c r="B27" s="256">
        <v>-0.3</v>
      </c>
      <c r="C27" s="147">
        <f t="shared" si="2"/>
        <v>-5048</v>
      </c>
      <c r="D27" s="164">
        <f t="shared" si="6"/>
        <v>-5625</v>
      </c>
      <c r="E27" s="165">
        <f t="shared" si="8"/>
        <v>577</v>
      </c>
      <c r="F27" s="164">
        <f t="shared" si="3"/>
        <v>-7702.86</v>
      </c>
      <c r="G27" s="166">
        <f t="shared" si="9"/>
        <v>-6300</v>
      </c>
      <c r="H27" s="299">
        <f t="shared" si="4"/>
        <v>-0.1628</v>
      </c>
      <c r="I27" s="299">
        <f t="shared" si="5"/>
        <v>1.8599999999999998E-2</v>
      </c>
    </row>
    <row r="28" spans="1:9">
      <c r="A28" s="162">
        <v>32000</v>
      </c>
      <c r="B28" s="256">
        <v>-0.3</v>
      </c>
      <c r="C28" s="147">
        <f t="shared" si="2"/>
        <v>-5348</v>
      </c>
      <c r="D28" s="164">
        <f t="shared" si="6"/>
        <v>-6045</v>
      </c>
      <c r="E28" s="165">
        <f t="shared" si="8"/>
        <v>697</v>
      </c>
      <c r="F28" s="164">
        <f t="shared" si="3"/>
        <v>-8135</v>
      </c>
      <c r="G28" s="166">
        <f t="shared" si="9"/>
        <v>-6720</v>
      </c>
      <c r="H28" s="299">
        <f t="shared" si="4"/>
        <v>-0.1671</v>
      </c>
      <c r="I28" s="299">
        <f t="shared" si="5"/>
        <v>2.18E-2</v>
      </c>
    </row>
    <row r="29" spans="1:9">
      <c r="A29" s="162">
        <v>34000</v>
      </c>
      <c r="B29" s="256">
        <v>-0.41</v>
      </c>
      <c r="C29" s="147">
        <f t="shared" si="2"/>
        <v>-6159.75</v>
      </c>
      <c r="D29" s="164">
        <f t="shared" si="6"/>
        <v>-6885</v>
      </c>
      <c r="E29" s="165">
        <f t="shared" si="8"/>
        <v>725.25</v>
      </c>
      <c r="F29" s="164">
        <f t="shared" si="3"/>
        <v>-8999.2900000000009</v>
      </c>
      <c r="G29" s="166">
        <f t="shared" si="9"/>
        <v>-7560</v>
      </c>
      <c r="H29" s="299">
        <f t="shared" si="4"/>
        <v>-0.1812</v>
      </c>
      <c r="I29" s="299">
        <f t="shared" si="5"/>
        <v>2.1299999999999999E-2</v>
      </c>
    </row>
    <row r="30" spans="1:9">
      <c r="A30" s="162">
        <v>36000</v>
      </c>
      <c r="B30" s="256">
        <v>-0.41</v>
      </c>
      <c r="C30" s="147">
        <f t="shared" si="2"/>
        <v>-6979.75</v>
      </c>
      <c r="D30" s="164">
        <f t="shared" si="6"/>
        <v>-7725</v>
      </c>
      <c r="E30" s="165">
        <f t="shared" si="8"/>
        <v>745.25</v>
      </c>
      <c r="F30" s="164">
        <f t="shared" si="3"/>
        <v>-9863.57</v>
      </c>
      <c r="G30" s="166">
        <f t="shared" si="9"/>
        <v>-8400</v>
      </c>
      <c r="H30" s="299">
        <f t="shared" si="4"/>
        <v>-0.19389999999999999</v>
      </c>
      <c r="I30" s="299">
        <f t="shared" si="5"/>
        <v>2.07E-2</v>
      </c>
    </row>
    <row r="31" spans="1:9">
      <c r="A31" s="162">
        <v>38000</v>
      </c>
      <c r="B31" s="256">
        <v>-0.41</v>
      </c>
      <c r="C31" s="147">
        <f t="shared" si="2"/>
        <v>-7799.75</v>
      </c>
      <c r="D31" s="164">
        <f t="shared" si="6"/>
        <v>-8565</v>
      </c>
      <c r="E31" s="165">
        <f t="shared" si="8"/>
        <v>765.25</v>
      </c>
      <c r="F31" s="164">
        <f t="shared" si="3"/>
        <v>-10727.86</v>
      </c>
      <c r="G31" s="166">
        <f t="shared" si="9"/>
        <v>-9240</v>
      </c>
      <c r="H31" s="299">
        <f t="shared" si="4"/>
        <v>-0.20530000000000001</v>
      </c>
      <c r="I31" s="299">
        <f t="shared" si="5"/>
        <v>2.01E-2</v>
      </c>
    </row>
    <row r="32" spans="1:9" s="167" customFormat="1">
      <c r="A32" s="162">
        <v>40000</v>
      </c>
      <c r="B32" s="256">
        <v>-0.41</v>
      </c>
      <c r="C32" s="147">
        <f t="shared" si="2"/>
        <v>-8619.75</v>
      </c>
      <c r="D32" s="164">
        <f t="shared" si="6"/>
        <v>-9405</v>
      </c>
      <c r="E32" s="165">
        <f t="shared" si="8"/>
        <v>785.25</v>
      </c>
      <c r="F32" s="164">
        <f t="shared" si="3"/>
        <v>-11592.14</v>
      </c>
      <c r="G32" s="166">
        <f t="shared" si="9"/>
        <v>-10080</v>
      </c>
      <c r="H32" s="299">
        <f t="shared" si="4"/>
        <v>-0.2155</v>
      </c>
      <c r="I32" s="299">
        <f t="shared" si="5"/>
        <v>1.9599999999999999E-2</v>
      </c>
    </row>
    <row r="33" spans="1:9" s="167" customFormat="1">
      <c r="A33" s="162">
        <v>45000</v>
      </c>
      <c r="B33" s="256">
        <v>-0.41</v>
      </c>
      <c r="C33" s="147">
        <f t="shared" si="2"/>
        <v>-10669.75</v>
      </c>
      <c r="D33" s="164">
        <f t="shared" si="6"/>
        <v>-11505</v>
      </c>
      <c r="E33" s="165">
        <f t="shared" si="8"/>
        <v>835.25</v>
      </c>
      <c r="F33" s="164">
        <f t="shared" si="3"/>
        <v>-13752.86</v>
      </c>
      <c r="G33" s="166">
        <f t="shared" si="9"/>
        <v>-12180</v>
      </c>
      <c r="H33" s="299">
        <f t="shared" si="4"/>
        <v>-0.23710000000000001</v>
      </c>
      <c r="I33" s="299">
        <f t="shared" si="5"/>
        <v>1.8599999999999998E-2</v>
      </c>
    </row>
    <row r="34" spans="1:9" s="167" customFormat="1">
      <c r="A34" s="162">
        <v>50000</v>
      </c>
      <c r="B34" s="256">
        <v>-0.41</v>
      </c>
      <c r="C34" s="147">
        <f t="shared" si="2"/>
        <v>-12719.75</v>
      </c>
      <c r="D34" s="164">
        <f t="shared" si="6"/>
        <v>-13605</v>
      </c>
      <c r="E34" s="165">
        <f t="shared" si="8"/>
        <v>885.25</v>
      </c>
      <c r="F34" s="164">
        <f t="shared" si="3"/>
        <v>-15913.57</v>
      </c>
      <c r="G34" s="166">
        <f t="shared" si="9"/>
        <v>-14280</v>
      </c>
      <c r="H34" s="299">
        <f t="shared" si="4"/>
        <v>-0.25440000000000002</v>
      </c>
      <c r="I34" s="299">
        <f t="shared" si="5"/>
        <v>1.77E-2</v>
      </c>
    </row>
    <row r="35" spans="1:9" s="167" customFormat="1">
      <c r="A35" s="162">
        <v>55000</v>
      </c>
      <c r="B35" s="256">
        <v>-0.41</v>
      </c>
      <c r="C35" s="147">
        <f t="shared" si="2"/>
        <v>-14769.75</v>
      </c>
      <c r="D35" s="164">
        <f t="shared" si="6"/>
        <v>-15705</v>
      </c>
      <c r="E35" s="165">
        <f t="shared" si="8"/>
        <v>935.25</v>
      </c>
      <c r="F35" s="164">
        <f t="shared" si="3"/>
        <v>-18074.29</v>
      </c>
      <c r="G35" s="166">
        <f t="shared" si="9"/>
        <v>-16380</v>
      </c>
      <c r="H35" s="299">
        <f t="shared" si="4"/>
        <v>-0.26850000000000002</v>
      </c>
      <c r="I35" s="299">
        <f t="shared" si="5"/>
        <v>1.7000000000000001E-2</v>
      </c>
    </row>
    <row r="36" spans="1:9" s="167" customFormat="1">
      <c r="A36" s="162">
        <v>60000</v>
      </c>
      <c r="B36" s="256">
        <v>-0.41</v>
      </c>
      <c r="C36" s="147">
        <f t="shared" si="2"/>
        <v>-16819.75</v>
      </c>
      <c r="D36" s="164">
        <f t="shared" si="6"/>
        <v>-17805</v>
      </c>
      <c r="E36" s="165">
        <f t="shared" si="8"/>
        <v>985.25</v>
      </c>
      <c r="F36" s="164">
        <f t="shared" si="3"/>
        <v>-20235</v>
      </c>
      <c r="G36" s="166">
        <f t="shared" si="9"/>
        <v>-18480</v>
      </c>
      <c r="H36" s="299">
        <f t="shared" si="4"/>
        <v>-0.28029999999999999</v>
      </c>
      <c r="I36" s="299">
        <f t="shared" si="5"/>
        <v>1.6400000000000001E-2</v>
      </c>
    </row>
    <row r="37" spans="1:9" s="167" customFormat="1">
      <c r="A37" s="162">
        <v>65000</v>
      </c>
      <c r="B37" s="256">
        <f t="shared" ref="B37:B74" si="10">ROUND(IF(A37&lt;=11000,0,IF(A37&lt;=18000,"-25 %",IF(A37&lt;=31000,"-35 %",IF(A37&lt;=60000,"-42 %",IF(A37&lt;=90000,"-48 %",IF(A37&lt;=1000000,"-50 %","-55 %")))))),2)</f>
        <v>-0.48</v>
      </c>
      <c r="C37" s="147">
        <f t="shared" si="2"/>
        <v>-19074.150000000001</v>
      </c>
      <c r="D37" s="164">
        <f t="shared" si="6"/>
        <v>-20205</v>
      </c>
      <c r="E37" s="165">
        <f t="shared" si="8"/>
        <v>1130.8499999999985</v>
      </c>
      <c r="F37" s="164">
        <f t="shared" si="3"/>
        <v>-22735</v>
      </c>
      <c r="G37" s="166">
        <f t="shared" si="9"/>
        <v>-20880</v>
      </c>
      <c r="H37" s="299">
        <f t="shared" si="4"/>
        <v>-0.29339999999999999</v>
      </c>
      <c r="I37" s="299">
        <f t="shared" si="5"/>
        <v>1.7399999999999999E-2</v>
      </c>
    </row>
    <row r="38" spans="1:9" s="167" customFormat="1">
      <c r="A38" s="162">
        <v>70000</v>
      </c>
      <c r="B38" s="256">
        <f t="shared" si="10"/>
        <v>-0.48</v>
      </c>
      <c r="C38" s="147">
        <f t="shared" si="2"/>
        <v>-21474.15</v>
      </c>
      <c r="D38" s="164">
        <f t="shared" si="6"/>
        <v>-22605</v>
      </c>
      <c r="E38" s="165">
        <f t="shared" si="8"/>
        <v>1130.8499999999985</v>
      </c>
      <c r="F38" s="164">
        <f t="shared" si="3"/>
        <v>-25235</v>
      </c>
      <c r="G38" s="166">
        <f t="shared" si="9"/>
        <v>-23280</v>
      </c>
      <c r="H38" s="299">
        <f t="shared" si="4"/>
        <v>-0.30680000000000002</v>
      </c>
      <c r="I38" s="299">
        <f t="shared" si="5"/>
        <v>1.6199999999999999E-2</v>
      </c>
    </row>
    <row r="39" spans="1:9" s="167" customFormat="1">
      <c r="A39" s="162">
        <v>75000</v>
      </c>
      <c r="B39" s="256">
        <f t="shared" si="10"/>
        <v>-0.48</v>
      </c>
      <c r="C39" s="147">
        <f t="shared" si="2"/>
        <v>-23874.15</v>
      </c>
      <c r="D39" s="164">
        <f t="shared" si="6"/>
        <v>-25005</v>
      </c>
      <c r="E39" s="165">
        <f t="shared" si="8"/>
        <v>1130.8499999999985</v>
      </c>
      <c r="F39" s="164">
        <f t="shared" si="3"/>
        <v>-27735</v>
      </c>
      <c r="G39" s="166">
        <f t="shared" si="9"/>
        <v>-25680</v>
      </c>
      <c r="H39" s="299">
        <f t="shared" si="4"/>
        <v>-0.31830000000000003</v>
      </c>
      <c r="I39" s="299">
        <f t="shared" si="5"/>
        <v>1.5100000000000001E-2</v>
      </c>
    </row>
    <row r="40" spans="1:9" s="167" customFormat="1">
      <c r="A40" s="162">
        <v>80000</v>
      </c>
      <c r="B40" s="256">
        <f t="shared" si="10"/>
        <v>-0.48</v>
      </c>
      <c r="C40" s="147">
        <f t="shared" si="2"/>
        <v>-26274.15</v>
      </c>
      <c r="D40" s="164">
        <f t="shared" si="6"/>
        <v>-27405</v>
      </c>
      <c r="E40" s="165">
        <f t="shared" si="8"/>
        <v>1130.8499999999985</v>
      </c>
      <c r="F40" s="164">
        <f t="shared" si="3"/>
        <v>-30235</v>
      </c>
      <c r="G40" s="166">
        <f t="shared" si="9"/>
        <v>-28080</v>
      </c>
      <c r="H40" s="299">
        <f t="shared" si="4"/>
        <v>-0.32840000000000003</v>
      </c>
      <c r="I40" s="299">
        <f t="shared" si="5"/>
        <v>1.41E-2</v>
      </c>
    </row>
    <row r="41" spans="1:9" s="167" customFormat="1">
      <c r="A41" s="162">
        <v>85000</v>
      </c>
      <c r="B41" s="256">
        <f t="shared" si="10"/>
        <v>-0.48</v>
      </c>
      <c r="C41" s="147">
        <f t="shared" si="2"/>
        <v>-28674.15</v>
      </c>
      <c r="D41" s="164">
        <f t="shared" si="6"/>
        <v>-29805</v>
      </c>
      <c r="E41" s="165">
        <f t="shared" si="8"/>
        <v>1130.8499999999985</v>
      </c>
      <c r="F41" s="164">
        <f t="shared" si="3"/>
        <v>-32735</v>
      </c>
      <c r="G41" s="166">
        <f t="shared" si="9"/>
        <v>-30480</v>
      </c>
      <c r="H41" s="299">
        <f t="shared" si="4"/>
        <v>-0.33729999999999999</v>
      </c>
      <c r="I41" s="299">
        <f t="shared" si="5"/>
        <v>1.3299999999999999E-2</v>
      </c>
    </row>
    <row r="42" spans="1:9" s="167" customFormat="1">
      <c r="A42" s="162">
        <v>90000</v>
      </c>
      <c r="B42" s="256">
        <f t="shared" si="10"/>
        <v>-0.48</v>
      </c>
      <c r="C42" s="147">
        <f t="shared" si="2"/>
        <v>-31074.15</v>
      </c>
      <c r="D42" s="164">
        <f t="shared" si="6"/>
        <v>-32205</v>
      </c>
      <c r="E42" s="165">
        <f t="shared" si="8"/>
        <v>1130.8499999999985</v>
      </c>
      <c r="F42" s="164">
        <f t="shared" si="3"/>
        <v>-35235</v>
      </c>
      <c r="G42" s="166">
        <f t="shared" si="9"/>
        <v>-32880</v>
      </c>
      <c r="H42" s="299">
        <f t="shared" si="4"/>
        <v>-0.3453</v>
      </c>
      <c r="I42" s="299">
        <f t="shared" si="5"/>
        <v>1.26E-2</v>
      </c>
    </row>
    <row r="43" spans="1:9">
      <c r="A43" s="162">
        <v>95000</v>
      </c>
      <c r="B43" s="256">
        <v>-0.48</v>
      </c>
      <c r="C43" s="147">
        <f t="shared" si="2"/>
        <v>-33511.75</v>
      </c>
      <c r="D43" s="164">
        <f t="shared" si="6"/>
        <v>-34705</v>
      </c>
      <c r="E43" s="165">
        <f t="shared" si="8"/>
        <v>1193.25</v>
      </c>
      <c r="F43" s="164">
        <f t="shared" si="3"/>
        <v>-37735</v>
      </c>
      <c r="G43" s="166">
        <f t="shared" si="9"/>
        <v>-35380</v>
      </c>
      <c r="H43" s="299">
        <f t="shared" si="4"/>
        <v>-0.3528</v>
      </c>
      <c r="I43" s="299">
        <f t="shared" si="5"/>
        <v>1.26E-2</v>
      </c>
    </row>
    <row r="44" spans="1:9">
      <c r="A44" s="162">
        <v>100000</v>
      </c>
      <c r="B44" s="256">
        <f t="shared" si="10"/>
        <v>-0.5</v>
      </c>
      <c r="C44" s="147">
        <f t="shared" si="2"/>
        <v>-36011.75</v>
      </c>
      <c r="D44" s="164">
        <f t="shared" si="6"/>
        <v>-37205</v>
      </c>
      <c r="E44" s="165">
        <f t="shared" si="8"/>
        <v>1193.25</v>
      </c>
      <c r="F44" s="164">
        <f t="shared" si="3"/>
        <v>-40235</v>
      </c>
      <c r="G44" s="166">
        <f t="shared" si="9"/>
        <v>-37880</v>
      </c>
      <c r="H44" s="299">
        <f t="shared" si="4"/>
        <v>-0.36009999999999998</v>
      </c>
      <c r="I44" s="299">
        <f t="shared" si="5"/>
        <v>1.1900000000000001E-2</v>
      </c>
    </row>
    <row r="45" spans="1:9">
      <c r="A45" s="162">
        <v>200000</v>
      </c>
      <c r="B45" s="256">
        <f t="shared" si="10"/>
        <v>-0.5</v>
      </c>
      <c r="C45" s="147">
        <f t="shared" si="2"/>
        <v>-86011.75</v>
      </c>
      <c r="D45" s="164">
        <f t="shared" si="6"/>
        <v>-87205</v>
      </c>
      <c r="E45" s="165">
        <f t="shared" si="8"/>
        <v>1193.25</v>
      </c>
      <c r="F45" s="164">
        <f t="shared" si="3"/>
        <v>-90235</v>
      </c>
      <c r="G45" s="166">
        <f t="shared" si="9"/>
        <v>-87880</v>
      </c>
      <c r="H45" s="299">
        <f t="shared" si="4"/>
        <v>-0.43009999999999998</v>
      </c>
      <c r="I45" s="299">
        <f t="shared" si="5"/>
        <v>6.0000000000000001E-3</v>
      </c>
    </row>
    <row r="46" spans="1:9">
      <c r="A46" s="162">
        <v>300000</v>
      </c>
      <c r="B46" s="256">
        <f t="shared" si="10"/>
        <v>-0.5</v>
      </c>
      <c r="C46" s="147">
        <f t="shared" si="2"/>
        <v>-136011.75</v>
      </c>
      <c r="D46" s="164">
        <f t="shared" si="6"/>
        <v>-137205</v>
      </c>
      <c r="E46" s="165">
        <f t="shared" si="8"/>
        <v>1193.25</v>
      </c>
      <c r="F46" s="164">
        <f t="shared" si="3"/>
        <v>-140235</v>
      </c>
      <c r="G46" s="166">
        <f t="shared" si="9"/>
        <v>-137880</v>
      </c>
      <c r="H46" s="299">
        <f t="shared" si="4"/>
        <v>-0.45340000000000003</v>
      </c>
      <c r="I46" s="299">
        <f t="shared" si="5"/>
        <v>4.0000000000000001E-3</v>
      </c>
    </row>
    <row r="47" spans="1:9">
      <c r="A47" s="162">
        <v>400000</v>
      </c>
      <c r="B47" s="256">
        <f t="shared" si="10"/>
        <v>-0.5</v>
      </c>
      <c r="C47" s="147">
        <f t="shared" si="2"/>
        <v>-186011.75</v>
      </c>
      <c r="D47" s="164">
        <f t="shared" si="6"/>
        <v>-187205</v>
      </c>
      <c r="E47" s="165">
        <f t="shared" si="8"/>
        <v>1193.25</v>
      </c>
      <c r="F47" s="164">
        <f t="shared" si="3"/>
        <v>-190235</v>
      </c>
      <c r="G47" s="166">
        <f t="shared" si="9"/>
        <v>-187880</v>
      </c>
      <c r="H47" s="299">
        <f t="shared" si="4"/>
        <v>-0.46500000000000002</v>
      </c>
      <c r="I47" s="299">
        <f t="shared" si="5"/>
        <v>3.0000000000000001E-3</v>
      </c>
    </row>
    <row r="48" spans="1:9">
      <c r="A48" s="162">
        <v>500000</v>
      </c>
      <c r="B48" s="256">
        <f t="shared" si="10"/>
        <v>-0.5</v>
      </c>
      <c r="C48" s="147">
        <f t="shared" si="2"/>
        <v>-236011.75</v>
      </c>
      <c r="D48" s="164">
        <f t="shared" si="6"/>
        <v>-237205</v>
      </c>
      <c r="E48" s="165">
        <f t="shared" si="8"/>
        <v>1193.25</v>
      </c>
      <c r="F48" s="164">
        <f t="shared" si="3"/>
        <v>-240235</v>
      </c>
      <c r="G48" s="166">
        <f t="shared" si="9"/>
        <v>-237880</v>
      </c>
      <c r="H48" s="299">
        <f t="shared" si="4"/>
        <v>-0.47199999999999998</v>
      </c>
      <c r="I48" s="299">
        <f t="shared" si="5"/>
        <v>2.3999999999999998E-3</v>
      </c>
    </row>
    <row r="49" spans="1:9">
      <c r="A49" s="162">
        <v>600000</v>
      </c>
      <c r="B49" s="256">
        <f t="shared" si="10"/>
        <v>-0.5</v>
      </c>
      <c r="C49" s="147">
        <f t="shared" si="2"/>
        <v>-286011.75</v>
      </c>
      <c r="D49" s="164">
        <f t="shared" si="6"/>
        <v>-287205</v>
      </c>
      <c r="E49" s="165">
        <f t="shared" si="8"/>
        <v>1193.25</v>
      </c>
      <c r="F49" s="164">
        <f t="shared" si="3"/>
        <v>-290235</v>
      </c>
      <c r="G49" s="166">
        <f t="shared" si="9"/>
        <v>-287880</v>
      </c>
      <c r="H49" s="299">
        <f t="shared" si="4"/>
        <v>-0.47670000000000001</v>
      </c>
      <c r="I49" s="299">
        <f t="shared" si="5"/>
        <v>2E-3</v>
      </c>
    </row>
    <row r="50" spans="1:9">
      <c r="A50" s="162">
        <v>700000</v>
      </c>
      <c r="B50" s="256">
        <f t="shared" si="10"/>
        <v>-0.5</v>
      </c>
      <c r="C50" s="147">
        <f t="shared" si="2"/>
        <v>-336011.75</v>
      </c>
      <c r="D50" s="164">
        <f t="shared" si="6"/>
        <v>-337205</v>
      </c>
      <c r="E50" s="165">
        <f t="shared" si="8"/>
        <v>1193.25</v>
      </c>
      <c r="F50" s="164">
        <f t="shared" si="3"/>
        <v>-340235</v>
      </c>
      <c r="G50" s="166">
        <f t="shared" si="9"/>
        <v>-337880</v>
      </c>
      <c r="H50" s="299">
        <f t="shared" si="4"/>
        <v>-0.48</v>
      </c>
      <c r="I50" s="299">
        <f t="shared" si="5"/>
        <v>1.6999999999999999E-3</v>
      </c>
    </row>
    <row r="51" spans="1:9">
      <c r="A51" s="162">
        <v>800000</v>
      </c>
      <c r="B51" s="256">
        <f t="shared" si="10"/>
        <v>-0.5</v>
      </c>
      <c r="C51" s="147">
        <f t="shared" si="2"/>
        <v>-386011.75</v>
      </c>
      <c r="D51" s="164">
        <f t="shared" si="6"/>
        <v>-387205</v>
      </c>
      <c r="E51" s="165">
        <f t="shared" si="8"/>
        <v>1193.25</v>
      </c>
      <c r="F51" s="164">
        <f t="shared" si="3"/>
        <v>-390235</v>
      </c>
      <c r="G51" s="166">
        <f t="shared" si="9"/>
        <v>-387880</v>
      </c>
      <c r="H51" s="299">
        <f t="shared" si="4"/>
        <v>-0.48249999999999998</v>
      </c>
      <c r="I51" s="299">
        <f t="shared" si="5"/>
        <v>1.5E-3</v>
      </c>
    </row>
    <row r="52" spans="1:9">
      <c r="A52" s="162">
        <v>900000</v>
      </c>
      <c r="B52" s="256">
        <f t="shared" si="10"/>
        <v>-0.5</v>
      </c>
      <c r="C52" s="147">
        <f t="shared" si="2"/>
        <v>-436011.75</v>
      </c>
      <c r="D52" s="164">
        <f t="shared" si="6"/>
        <v>-437205</v>
      </c>
      <c r="E52" s="165">
        <f t="shared" si="8"/>
        <v>1193.25</v>
      </c>
      <c r="F52" s="164">
        <f t="shared" si="3"/>
        <v>-440235</v>
      </c>
      <c r="G52" s="166">
        <f t="shared" si="9"/>
        <v>-437880</v>
      </c>
      <c r="H52" s="299">
        <f t="shared" si="4"/>
        <v>-0.48449999999999999</v>
      </c>
      <c r="I52" s="299">
        <f t="shared" si="5"/>
        <v>1.2999999999999999E-3</v>
      </c>
    </row>
    <row r="53" spans="1:9">
      <c r="A53" s="162">
        <v>1000000</v>
      </c>
      <c r="B53" s="256">
        <f t="shared" si="10"/>
        <v>-0.5</v>
      </c>
      <c r="C53" s="147">
        <f t="shared" si="2"/>
        <v>-486011.75</v>
      </c>
      <c r="D53" s="164">
        <f t="shared" si="6"/>
        <v>-487205</v>
      </c>
      <c r="E53" s="165">
        <f t="shared" si="8"/>
        <v>1193.25</v>
      </c>
      <c r="F53" s="164">
        <f t="shared" si="3"/>
        <v>-490235</v>
      </c>
      <c r="G53" s="166">
        <f t="shared" si="9"/>
        <v>-487880</v>
      </c>
      <c r="H53" s="299">
        <f t="shared" si="4"/>
        <v>-0.48599999999999999</v>
      </c>
      <c r="I53" s="299">
        <f t="shared" si="5"/>
        <v>1.1999999999999999E-3</v>
      </c>
    </row>
    <row r="54" spans="1:9">
      <c r="A54" s="162">
        <v>1010000</v>
      </c>
      <c r="B54" s="256">
        <f t="shared" si="10"/>
        <v>-0.55000000000000004</v>
      </c>
      <c r="C54" s="147">
        <f t="shared" si="2"/>
        <v>-491511.75</v>
      </c>
      <c r="D54" s="164">
        <f t="shared" si="6"/>
        <v>-492705</v>
      </c>
      <c r="E54" s="165">
        <f t="shared" si="8"/>
        <v>1193.25</v>
      </c>
      <c r="F54" s="164">
        <f t="shared" si="3"/>
        <v>-495235</v>
      </c>
      <c r="G54" s="166">
        <f t="shared" si="9"/>
        <v>-493380</v>
      </c>
      <c r="H54" s="299">
        <f t="shared" si="4"/>
        <v>-0.48659999999999998</v>
      </c>
      <c r="I54" s="299">
        <f t="shared" si="5"/>
        <v>1.1999999999999999E-3</v>
      </c>
    </row>
    <row r="55" spans="1:9">
      <c r="A55" s="162">
        <v>1020000</v>
      </c>
      <c r="B55" s="256">
        <f t="shared" si="10"/>
        <v>-0.55000000000000004</v>
      </c>
      <c r="C55" s="147">
        <f t="shared" si="2"/>
        <v>-497011.75</v>
      </c>
      <c r="D55" s="164">
        <f t="shared" si="6"/>
        <v>-498205</v>
      </c>
      <c r="E55" s="165">
        <f t="shared" si="8"/>
        <v>1193.25</v>
      </c>
      <c r="F55" s="164">
        <f t="shared" si="3"/>
        <v>-500235</v>
      </c>
      <c r="G55" s="166">
        <f t="shared" si="9"/>
        <v>-498880</v>
      </c>
      <c r="H55" s="299">
        <f t="shared" si="4"/>
        <v>-0.48730000000000001</v>
      </c>
      <c r="I55" s="299">
        <f t="shared" si="5"/>
        <v>1.1999999999999999E-3</v>
      </c>
    </row>
    <row r="56" spans="1:9">
      <c r="A56" s="162">
        <v>1030000</v>
      </c>
      <c r="B56" s="256">
        <f t="shared" si="10"/>
        <v>-0.55000000000000004</v>
      </c>
      <c r="C56" s="147">
        <f t="shared" si="2"/>
        <v>-502511.75</v>
      </c>
      <c r="D56" s="164">
        <f t="shared" si="6"/>
        <v>-503705</v>
      </c>
      <c r="E56" s="165">
        <f t="shared" si="8"/>
        <v>1193.25</v>
      </c>
      <c r="F56" s="164">
        <f t="shared" si="3"/>
        <v>-505235</v>
      </c>
      <c r="G56" s="166">
        <f t="shared" si="9"/>
        <v>-504380</v>
      </c>
      <c r="H56" s="299">
        <f t="shared" si="4"/>
        <v>-0.4879</v>
      </c>
      <c r="I56" s="299">
        <f t="shared" si="5"/>
        <v>1.1999999999999999E-3</v>
      </c>
    </row>
    <row r="57" spans="1:9">
      <c r="A57" s="162">
        <v>1040000</v>
      </c>
      <c r="B57" s="256">
        <f t="shared" si="10"/>
        <v>-0.55000000000000004</v>
      </c>
      <c r="C57" s="147">
        <f t="shared" si="2"/>
        <v>-508011.75</v>
      </c>
      <c r="D57" s="164">
        <f t="shared" si="6"/>
        <v>-509205</v>
      </c>
      <c r="E57" s="165">
        <f t="shared" si="8"/>
        <v>1193.25</v>
      </c>
      <c r="F57" s="164">
        <f t="shared" si="3"/>
        <v>-510235</v>
      </c>
      <c r="G57" s="166">
        <f t="shared" si="9"/>
        <v>-509880</v>
      </c>
      <c r="H57" s="299">
        <f t="shared" si="4"/>
        <v>-0.48849999999999999</v>
      </c>
      <c r="I57" s="299">
        <f t="shared" si="5"/>
        <v>1.1000000000000001E-3</v>
      </c>
    </row>
    <row r="58" spans="1:9">
      <c r="A58" s="162">
        <v>1047100</v>
      </c>
      <c r="B58" s="256">
        <f t="shared" si="10"/>
        <v>-0.55000000000000004</v>
      </c>
      <c r="C58" s="147">
        <f t="shared" si="2"/>
        <v>-511916.75</v>
      </c>
      <c r="D58" s="164">
        <f t="shared" si="6"/>
        <v>-513110</v>
      </c>
      <c r="E58" s="165">
        <f t="shared" si="8"/>
        <v>1193.25</v>
      </c>
      <c r="F58" s="164">
        <f t="shared" si="3"/>
        <v>-513785</v>
      </c>
      <c r="G58" s="166">
        <f t="shared" si="9"/>
        <v>-513785</v>
      </c>
      <c r="H58" s="299">
        <f t="shared" si="4"/>
        <v>-0.4889</v>
      </c>
      <c r="I58" s="299">
        <f t="shared" si="5"/>
        <v>1.1000000000000001E-3</v>
      </c>
    </row>
    <row r="59" spans="1:9">
      <c r="A59" s="162">
        <v>1050000</v>
      </c>
      <c r="B59" s="256">
        <f t="shared" si="10"/>
        <v>-0.55000000000000004</v>
      </c>
      <c r="C59" s="147">
        <f t="shared" si="2"/>
        <v>-513511.75</v>
      </c>
      <c r="D59" s="164">
        <f t="shared" si="6"/>
        <v>-514705</v>
      </c>
      <c r="E59" s="165">
        <f t="shared" si="8"/>
        <v>1193.25</v>
      </c>
      <c r="F59" s="164">
        <f t="shared" si="3"/>
        <v>-515235</v>
      </c>
      <c r="G59" s="166">
        <f t="shared" si="9"/>
        <v>-515380</v>
      </c>
      <c r="H59" s="299">
        <f t="shared" si="4"/>
        <v>-0.48909999999999998</v>
      </c>
      <c r="I59" s="299">
        <f t="shared" si="5"/>
        <v>1.1000000000000001E-3</v>
      </c>
    </row>
    <row r="60" spans="1:9">
      <c r="A60" s="162">
        <v>1060000</v>
      </c>
      <c r="B60" s="256">
        <f t="shared" si="10"/>
        <v>-0.55000000000000004</v>
      </c>
      <c r="C60" s="147">
        <f t="shared" si="2"/>
        <v>-519011.75</v>
      </c>
      <c r="D60" s="164">
        <f t="shared" si="6"/>
        <v>-520205</v>
      </c>
      <c r="E60" s="165">
        <f t="shared" si="8"/>
        <v>1193.25</v>
      </c>
      <c r="F60" s="164">
        <f t="shared" si="3"/>
        <v>-520235</v>
      </c>
      <c r="G60" s="166">
        <f t="shared" si="9"/>
        <v>-520880</v>
      </c>
      <c r="H60" s="299">
        <f t="shared" si="4"/>
        <v>-0.48959999999999998</v>
      </c>
      <c r="I60" s="299">
        <f t="shared" si="5"/>
        <v>1.1000000000000001E-3</v>
      </c>
    </row>
    <row r="61" spans="1:9">
      <c r="A61" s="162">
        <v>1070000</v>
      </c>
      <c r="B61" s="256">
        <f t="shared" si="10"/>
        <v>-0.55000000000000004</v>
      </c>
      <c r="C61" s="147">
        <f t="shared" si="2"/>
        <v>-524511.75</v>
      </c>
      <c r="D61" s="164">
        <f t="shared" si="6"/>
        <v>-525705</v>
      </c>
      <c r="E61" s="165">
        <f t="shared" si="8"/>
        <v>1193.25</v>
      </c>
      <c r="F61" s="164">
        <f t="shared" si="3"/>
        <v>-525235</v>
      </c>
      <c r="G61" s="166">
        <f t="shared" si="9"/>
        <v>-526380</v>
      </c>
      <c r="H61" s="299">
        <f t="shared" si="4"/>
        <v>-0.49020000000000002</v>
      </c>
      <c r="I61" s="299">
        <f t="shared" si="5"/>
        <v>1.1000000000000001E-3</v>
      </c>
    </row>
    <row r="62" spans="1:9">
      <c r="A62" s="162">
        <v>1080000</v>
      </c>
      <c r="B62" s="256">
        <f t="shared" si="10"/>
        <v>-0.55000000000000004</v>
      </c>
      <c r="C62" s="147">
        <f t="shared" si="2"/>
        <v>-530011.75</v>
      </c>
      <c r="D62" s="164">
        <f t="shared" si="6"/>
        <v>-531205</v>
      </c>
      <c r="E62" s="165">
        <f t="shared" si="8"/>
        <v>1193.25</v>
      </c>
      <c r="F62" s="164">
        <f t="shared" si="3"/>
        <v>-530235</v>
      </c>
      <c r="G62" s="166">
        <f t="shared" si="9"/>
        <v>-531880</v>
      </c>
      <c r="H62" s="299">
        <f t="shared" si="4"/>
        <v>-0.49080000000000001</v>
      </c>
      <c r="I62" s="299">
        <f t="shared" si="5"/>
        <v>1.1000000000000001E-3</v>
      </c>
    </row>
    <row r="63" spans="1:9">
      <c r="A63" s="162">
        <v>1090000</v>
      </c>
      <c r="B63" s="256">
        <f t="shared" si="10"/>
        <v>-0.55000000000000004</v>
      </c>
      <c r="C63" s="147">
        <f t="shared" si="2"/>
        <v>-535511.75</v>
      </c>
      <c r="D63" s="164">
        <f t="shared" si="6"/>
        <v>-536705</v>
      </c>
      <c r="E63" s="165">
        <f t="shared" si="8"/>
        <v>1193.25</v>
      </c>
      <c r="F63" s="164">
        <f t="shared" si="3"/>
        <v>-535235</v>
      </c>
      <c r="G63" s="166">
        <f t="shared" si="9"/>
        <v>-537380</v>
      </c>
      <c r="H63" s="299">
        <f t="shared" si="4"/>
        <v>-0.49130000000000001</v>
      </c>
      <c r="I63" s="299">
        <f t="shared" si="5"/>
        <v>1.1000000000000001E-3</v>
      </c>
    </row>
    <row r="64" spans="1:9">
      <c r="A64" s="162">
        <v>1100000</v>
      </c>
      <c r="B64" s="256">
        <f t="shared" si="10"/>
        <v>-0.55000000000000004</v>
      </c>
      <c r="C64" s="147">
        <f t="shared" si="2"/>
        <v>-541011.75</v>
      </c>
      <c r="D64" s="164">
        <f t="shared" si="6"/>
        <v>-542205</v>
      </c>
      <c r="E64" s="165">
        <f t="shared" si="8"/>
        <v>1193.25</v>
      </c>
      <c r="F64" s="164">
        <f t="shared" si="3"/>
        <v>-540235</v>
      </c>
      <c r="G64" s="166">
        <f t="shared" si="9"/>
        <v>-542880</v>
      </c>
      <c r="H64" s="299">
        <f t="shared" si="4"/>
        <v>-0.49180000000000001</v>
      </c>
      <c r="I64" s="299">
        <f t="shared" si="5"/>
        <v>1.1000000000000001E-3</v>
      </c>
    </row>
    <row r="65" spans="1:9">
      <c r="A65" s="162">
        <v>1150000</v>
      </c>
      <c r="B65" s="256">
        <f t="shared" si="10"/>
        <v>-0.55000000000000004</v>
      </c>
      <c r="C65" s="147">
        <f t="shared" si="2"/>
        <v>-568511.75</v>
      </c>
      <c r="D65" s="164">
        <f t="shared" si="6"/>
        <v>-569705</v>
      </c>
      <c r="E65" s="165">
        <f t="shared" si="8"/>
        <v>1193.25</v>
      </c>
      <c r="F65" s="164">
        <f t="shared" si="3"/>
        <v>-565235</v>
      </c>
      <c r="G65" s="166">
        <f t="shared" si="9"/>
        <v>-570380</v>
      </c>
      <c r="H65" s="299">
        <f t="shared" si="4"/>
        <v>-0.49440000000000001</v>
      </c>
      <c r="I65" s="299">
        <f t="shared" si="5"/>
        <v>1E-3</v>
      </c>
    </row>
    <row r="66" spans="1:9">
      <c r="A66" s="162">
        <v>1200000</v>
      </c>
      <c r="B66" s="256">
        <f t="shared" si="10"/>
        <v>-0.55000000000000004</v>
      </c>
      <c r="C66" s="147">
        <f t="shared" si="2"/>
        <v>-596011.75</v>
      </c>
      <c r="D66" s="164">
        <f t="shared" si="6"/>
        <v>-597205</v>
      </c>
      <c r="E66" s="165">
        <f t="shared" si="8"/>
        <v>1193.25</v>
      </c>
      <c r="F66" s="164">
        <f t="shared" si="3"/>
        <v>-590235</v>
      </c>
      <c r="G66" s="166">
        <f t="shared" si="9"/>
        <v>-597880</v>
      </c>
      <c r="H66" s="299">
        <f t="shared" si="4"/>
        <v>-0.49669999999999997</v>
      </c>
      <c r="I66" s="299">
        <f t="shared" si="5"/>
        <v>1E-3</v>
      </c>
    </row>
    <row r="67" spans="1:9">
      <c r="A67" s="162">
        <v>1300000</v>
      </c>
      <c r="B67" s="256">
        <f t="shared" si="10"/>
        <v>-0.55000000000000004</v>
      </c>
      <c r="C67" s="147">
        <f t="shared" si="2"/>
        <v>-651011.75</v>
      </c>
      <c r="D67" s="164">
        <f t="shared" si="6"/>
        <v>-652205</v>
      </c>
      <c r="E67" s="165">
        <f t="shared" si="8"/>
        <v>1193.25</v>
      </c>
      <c r="F67" s="164">
        <f t="shared" si="3"/>
        <v>-640235</v>
      </c>
      <c r="G67" s="166">
        <f t="shared" si="9"/>
        <v>-652880</v>
      </c>
      <c r="H67" s="299">
        <f t="shared" si="4"/>
        <v>-0.50080000000000002</v>
      </c>
      <c r="I67" s="299">
        <f t="shared" si="5"/>
        <v>8.9999999999999998E-4</v>
      </c>
    </row>
    <row r="68" spans="1:9">
      <c r="A68" s="162">
        <v>1400000</v>
      </c>
      <c r="B68" s="256">
        <f t="shared" si="10"/>
        <v>-0.55000000000000004</v>
      </c>
      <c r="C68" s="147">
        <f t="shared" si="2"/>
        <v>-706011.75</v>
      </c>
      <c r="D68" s="164">
        <f t="shared" si="6"/>
        <v>-707205</v>
      </c>
      <c r="E68" s="165">
        <f t="shared" si="8"/>
        <v>1193.25</v>
      </c>
      <c r="F68" s="164">
        <f t="shared" si="3"/>
        <v>-690235</v>
      </c>
      <c r="G68" s="166">
        <f t="shared" si="9"/>
        <v>-707880</v>
      </c>
      <c r="H68" s="299">
        <f t="shared" si="4"/>
        <v>-0.50429999999999997</v>
      </c>
      <c r="I68" s="299">
        <f t="shared" si="5"/>
        <v>8.9999999999999998E-4</v>
      </c>
    </row>
    <row r="69" spans="1:9">
      <c r="A69" s="162">
        <v>1500000</v>
      </c>
      <c r="B69" s="256">
        <f t="shared" si="10"/>
        <v>-0.55000000000000004</v>
      </c>
      <c r="C69" s="147">
        <f t="shared" si="2"/>
        <v>-761011.75</v>
      </c>
      <c r="D69" s="164">
        <f t="shared" si="6"/>
        <v>-762205</v>
      </c>
      <c r="E69" s="165">
        <f t="shared" si="8"/>
        <v>1193.25</v>
      </c>
      <c r="F69" s="164">
        <f t="shared" si="3"/>
        <v>-740235</v>
      </c>
      <c r="G69" s="166">
        <f t="shared" si="9"/>
        <v>-762880</v>
      </c>
      <c r="H69" s="299">
        <f t="shared" si="4"/>
        <v>-0.50729999999999997</v>
      </c>
      <c r="I69" s="299">
        <f t="shared" si="5"/>
        <v>8.0000000000000004E-4</v>
      </c>
    </row>
    <row r="70" spans="1:9">
      <c r="A70" s="162">
        <v>1600000</v>
      </c>
      <c r="B70" s="256">
        <f t="shared" si="10"/>
        <v>-0.55000000000000004</v>
      </c>
      <c r="C70" s="147">
        <f t="shared" si="2"/>
        <v>-816011.75</v>
      </c>
      <c r="D70" s="164">
        <f t="shared" si="6"/>
        <v>-817205</v>
      </c>
      <c r="E70" s="165">
        <f t="shared" si="8"/>
        <v>1193.25</v>
      </c>
      <c r="F70" s="164">
        <f t="shared" si="3"/>
        <v>-790235</v>
      </c>
      <c r="G70" s="166">
        <f t="shared" si="9"/>
        <v>-817880</v>
      </c>
      <c r="H70" s="299">
        <f t="shared" si="4"/>
        <v>-0.51</v>
      </c>
      <c r="I70" s="299">
        <f t="shared" si="5"/>
        <v>6.9999999999999999E-4</v>
      </c>
    </row>
    <row r="71" spans="1:9">
      <c r="A71" s="162">
        <v>1700000</v>
      </c>
      <c r="B71" s="256">
        <f t="shared" si="10"/>
        <v>-0.55000000000000004</v>
      </c>
      <c r="C71" s="147">
        <f t="shared" si="2"/>
        <v>-871011.75</v>
      </c>
      <c r="D71" s="164">
        <f t="shared" si="6"/>
        <v>-872205</v>
      </c>
      <c r="E71" s="165">
        <f t="shared" si="8"/>
        <v>1193.25</v>
      </c>
      <c r="F71" s="164">
        <f t="shared" si="3"/>
        <v>-840235</v>
      </c>
      <c r="G71" s="166">
        <f t="shared" si="9"/>
        <v>-872880</v>
      </c>
      <c r="H71" s="299">
        <f t="shared" si="4"/>
        <v>-0.51239999999999997</v>
      </c>
      <c r="I71" s="299">
        <f t="shared" si="5"/>
        <v>6.9999999999999999E-4</v>
      </c>
    </row>
    <row r="72" spans="1:9">
      <c r="A72" s="162">
        <v>1800000</v>
      </c>
      <c r="B72" s="256">
        <f t="shared" si="10"/>
        <v>-0.55000000000000004</v>
      </c>
      <c r="C72" s="147">
        <f t="shared" si="2"/>
        <v>-926011.75</v>
      </c>
      <c r="D72" s="164">
        <f t="shared" si="6"/>
        <v>-927205</v>
      </c>
      <c r="E72" s="165">
        <f t="shared" si="8"/>
        <v>1193.25</v>
      </c>
      <c r="F72" s="164">
        <f t="shared" si="3"/>
        <v>-890235</v>
      </c>
      <c r="G72" s="166">
        <f t="shared" si="9"/>
        <v>-927880</v>
      </c>
      <c r="H72" s="299">
        <f t="shared" si="4"/>
        <v>-0.51449999999999996</v>
      </c>
      <c r="I72" s="299">
        <f t="shared" si="5"/>
        <v>6.9999999999999999E-4</v>
      </c>
    </row>
    <row r="73" spans="1:9">
      <c r="A73" s="162">
        <v>1900000</v>
      </c>
      <c r="B73" s="256">
        <f t="shared" si="10"/>
        <v>-0.55000000000000004</v>
      </c>
      <c r="C73" s="147">
        <f t="shared" si="2"/>
        <v>-981011.75</v>
      </c>
      <c r="D73" s="164">
        <f t="shared" si="6"/>
        <v>-982205</v>
      </c>
      <c r="E73" s="165">
        <f t="shared" si="8"/>
        <v>1193.25</v>
      </c>
      <c r="F73" s="164">
        <f t="shared" si="3"/>
        <v>-940235</v>
      </c>
      <c r="G73" s="166">
        <f t="shared" si="9"/>
        <v>-982880</v>
      </c>
      <c r="H73" s="299">
        <f t="shared" si="4"/>
        <v>-0.51629999999999998</v>
      </c>
      <c r="I73" s="299">
        <f t="shared" si="5"/>
        <v>5.9999999999999995E-4</v>
      </c>
    </row>
    <row r="74" spans="1:9">
      <c r="A74" s="162">
        <v>2000000</v>
      </c>
      <c r="B74" s="256">
        <f t="shared" si="10"/>
        <v>-0.55000000000000004</v>
      </c>
      <c r="C74" s="147">
        <f t="shared" si="2"/>
        <v>-1036011.75</v>
      </c>
      <c r="D74" s="164">
        <f t="shared" si="6"/>
        <v>-1037205</v>
      </c>
      <c r="E74" s="165">
        <f t="shared" si="8"/>
        <v>1193.25</v>
      </c>
      <c r="F74" s="164">
        <f t="shared" si="3"/>
        <v>-990235</v>
      </c>
      <c r="G74" s="166">
        <f t="shared" si="9"/>
        <v>-1037880</v>
      </c>
      <c r="H74" s="299">
        <f t="shared" si="4"/>
        <v>-0.51800000000000002</v>
      </c>
      <c r="I74" s="299">
        <f t="shared" si="5"/>
        <v>5.9999999999999995E-4</v>
      </c>
    </row>
  </sheetData>
  <sheetProtection password="C839" sheet="1" objects="1" scenarios="1"/>
  <mergeCells count="1">
    <mergeCell ref="A1:E1"/>
  </mergeCells>
  <conditionalFormatting sqref="H2">
    <cfRule type="expression" dxfId="218" priority="2" stopIfTrue="1">
      <formula>AND(#REF!&gt;2)</formula>
    </cfRule>
  </conditionalFormatting>
  <conditionalFormatting sqref="I13:I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H1" r:id="rId1"/>
  </hyperlinks>
  <printOptions horizontalCentered="1" gridLines="1"/>
  <pageMargins left="0.35433070866141736" right="0.19685039370078741" top="0.54" bottom="0.55000000000000004" header="0.27" footer="0.26"/>
  <pageSetup paperSize="9" scale="90" orientation="portrait" r:id="rId2"/>
  <headerFooter alignWithMargins="0">
    <oddHeader>&amp;L&amp;8&amp;F&amp;C&amp;8&amp;A&amp;R&amp;8&amp;D</oddHeader>
    <oddFooter>&amp;L&amp;8copyright © www.rvo.at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0"/>
  <sheetViews>
    <sheetView zoomScaleNormal="100" workbookViewId="0">
      <pane ySplit="1" topLeftCell="A2" activePane="bottomLeft" state="frozen"/>
      <selection pane="bottomLeft" activeCell="B4" sqref="B4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14.4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133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14.4" customHeight="1" thickTop="1">
      <c r="A35" s="10"/>
      <c r="B35" s="11"/>
      <c r="C35" s="13"/>
      <c r="D35" s="12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7">
        <f>ROUND(SUM(C11,C34),2)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154</v>
      </c>
      <c r="B38" s="17">
        <f>ROUND(C38/12,2)</f>
        <v>-348</v>
      </c>
      <c r="C38" s="126">
        <f>ROUNDDOWN((MIN(MAX(-4500,C37*-0.15),0)),2)</f>
        <v>-4176</v>
      </c>
      <c r="D38" s="49">
        <f>ROUND(C38/C37,3)</f>
        <v>-0.15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30"/>
    </row>
    <row r="40" spans="1:9">
      <c r="A40" s="16" t="s">
        <v>132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2652</v>
      </c>
      <c r="C41" s="47">
        <f>SUM(C37:C40)</f>
        <v>31824</v>
      </c>
      <c r="D41" s="48">
        <f>ROUND(C41/C37,3)</f>
        <v>1.143</v>
      </c>
      <c r="E41" s="31"/>
      <c r="F41" s="33"/>
    </row>
    <row r="42" spans="1:9" outlineLevel="1">
      <c r="A42" s="117" t="s">
        <v>77</v>
      </c>
      <c r="B42" s="43">
        <v>-10.64</v>
      </c>
      <c r="C42" s="52">
        <f>ROUND(B42*12,2)</f>
        <v>-127.68</v>
      </c>
      <c r="D42" s="322" t="s">
        <v>43</v>
      </c>
      <c r="E42" s="322"/>
      <c r="F42" s="322"/>
      <c r="G42" s="116" t="s">
        <v>74</v>
      </c>
    </row>
    <row r="43" spans="1:9" outlineLevel="1">
      <c r="A43" s="118" t="s">
        <v>78</v>
      </c>
      <c r="B43" s="52">
        <f>IF(B$41&lt;E43,E43*D43,IF(B$41&gt;F43,F43*D43,B$41*D43))</f>
        <v>-490.62</v>
      </c>
      <c r="C43" s="52">
        <f>B43*12</f>
        <v>-5887.4400000000005</v>
      </c>
      <c r="D43" s="69">
        <v>-0.185</v>
      </c>
      <c r="E43" s="44">
        <v>485.85</v>
      </c>
      <c r="F43" s="119">
        <v>6615</v>
      </c>
      <c r="G43" s="301" t="s">
        <v>128</v>
      </c>
    </row>
    <row r="44" spans="1:9" ht="13.2" outlineLevel="1">
      <c r="A44" s="117" t="s">
        <v>79</v>
      </c>
      <c r="B44" s="52">
        <f>IF(B$41&lt;E44,E44*D44,IF(B$41&gt;F44,F44*D44,B$41*D44))</f>
        <v>-180.33600000000001</v>
      </c>
      <c r="C44" s="52">
        <f>B44*12</f>
        <v>-2164.0320000000002</v>
      </c>
      <c r="D44" s="69">
        <v>-6.8000000000000005E-2</v>
      </c>
      <c r="E44" s="44">
        <v>485.85</v>
      </c>
      <c r="F44" s="119">
        <v>6615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-50.604749999999996</v>
      </c>
      <c r="C45" s="52">
        <f>B45*12</f>
        <v>-607.25699999999995</v>
      </c>
      <c r="D45" s="69">
        <v>-1.5299999999999999E-2</v>
      </c>
      <c r="E45" s="44">
        <v>3307.5</v>
      </c>
      <c r="F45" s="119">
        <v>3307.5</v>
      </c>
      <c r="G45" s="115"/>
    </row>
    <row r="46" spans="1:9" outlineLevel="1">
      <c r="A46" s="118" t="s">
        <v>98</v>
      </c>
      <c r="B46" s="52">
        <f>IF(B$41&lt;E46,E46*D46,IF(B$41&gt;F46,F46*D46,B$41*D46))</f>
        <v>-198.45</v>
      </c>
      <c r="C46" s="52">
        <f>B46*12</f>
        <v>-2381.3999999999996</v>
      </c>
      <c r="D46" s="69">
        <v>-0.06</v>
      </c>
      <c r="E46" s="44">
        <v>3307.5</v>
      </c>
      <c r="F46" s="119">
        <v>3307.5</v>
      </c>
    </row>
    <row r="47" spans="1:9">
      <c r="A47" s="32" t="s">
        <v>7</v>
      </c>
      <c r="B47" s="47">
        <f>ROUND(SUM(B42:B46),2)</f>
        <v>-930.65</v>
      </c>
      <c r="C47" s="47">
        <f>ROUND(SUM(C42:C46),2)</f>
        <v>-11167.81</v>
      </c>
      <c r="D47" s="48">
        <f>ROUND(C47/C37,3)</f>
        <v>-0.40100000000000002</v>
      </c>
      <c r="E47" s="33"/>
      <c r="F47" s="33"/>
    </row>
    <row r="48" spans="1:9" ht="13.5" customHeight="1">
      <c r="A48" s="70" t="s">
        <v>45</v>
      </c>
      <c r="B48" s="50">
        <f>SUM(B41,B47)</f>
        <v>1721.35</v>
      </c>
      <c r="C48" s="50">
        <f>SUM(C37:C40,C47)</f>
        <v>20656.190000000002</v>
      </c>
      <c r="D48" s="51">
        <f>ROUND(C48/C37,3)</f>
        <v>0.74199999999999999</v>
      </c>
      <c r="E48" s="71" t="s">
        <v>46</v>
      </c>
      <c r="F48" s="71" t="s">
        <v>47</v>
      </c>
      <c r="G48" s="72" t="str">
        <f>IF(B69&gt;2,"MKZ","")</f>
        <v/>
      </c>
      <c r="H48" s="176" t="str">
        <f>IF(G48="MKZ","Info zum Mehrkindzuschlag (MKZ) seit 2011","")</f>
        <v/>
      </c>
      <c r="I48" s="15"/>
    </row>
    <row r="49" spans="1:9" ht="13.5" customHeight="1">
      <c r="A49" s="308" t="s">
        <v>160</v>
      </c>
      <c r="B49" s="73"/>
      <c r="C49" s="74">
        <v>0</v>
      </c>
      <c r="D49" s="3"/>
      <c r="E49" s="75"/>
      <c r="F49" s="76">
        <v>0</v>
      </c>
      <c r="G49" s="77"/>
      <c r="H49" s="302" t="s">
        <v>146</v>
      </c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für",IF(ISBLANK(G51),ROUND((B69-2)*12,0),""),"")</f>
        <v/>
      </c>
      <c r="H50" s="15"/>
      <c r="I50" s="15"/>
    </row>
    <row r="51" spans="1:9" hidden="1" outlineLevel="1">
      <c r="A51" s="19" t="s">
        <v>124</v>
      </c>
      <c r="B51" s="19"/>
      <c r="C51" s="74"/>
      <c r="D51" s="16"/>
      <c r="E51" s="120"/>
      <c r="F51" s="21"/>
      <c r="G51" s="102"/>
      <c r="H51" s="15"/>
      <c r="I51" s="15"/>
    </row>
    <row r="52" spans="1:9" collapsed="1">
      <c r="A52" s="79" t="s">
        <v>50</v>
      </c>
      <c r="B52" s="79"/>
      <c r="C52" s="80">
        <f>ROUND(IF(SUM(C48:C51)&lt;0,0,SUM(C48:C51)),2)</f>
        <v>20656.189999999999</v>
      </c>
      <c r="D52" s="81"/>
      <c r="E52" s="82"/>
      <c r="F52" s="83">
        <f>ROUND(IF(C52&gt;36400,0.12,IF(C52&gt;14600,0.1,IF(C52&gt;7300,0.08,0.06)))-SUM(B68/100,B69/100),3)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2065.62</v>
      </c>
      <c r="G53" s="103"/>
      <c r="H53" s="173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155</v>
      </c>
      <c r="B55" s="86">
        <v>1</v>
      </c>
      <c r="C55" s="80">
        <f>ROUND(IF(SUM(C52:C54)&lt;0,0,SUM(C52:C54)),2)</f>
        <v>20656.189999999999</v>
      </c>
      <c r="E55" s="87">
        <f>F55/C55</f>
        <v>-0.10956812461543007</v>
      </c>
      <c r="F55" s="23">
        <f>ROUND(SUM(D57:D63),2)</f>
        <v>-2263.2600000000002</v>
      </c>
      <c r="G55" s="103"/>
      <c r="H55" s="23"/>
    </row>
    <row r="56" spans="1:9" s="20" customFormat="1" ht="3" customHeight="1">
      <c r="A56" s="70"/>
      <c r="B56" s="86"/>
      <c r="C56" s="74"/>
      <c r="E56" s="87"/>
      <c r="F56" s="23"/>
      <c r="G56" s="103"/>
      <c r="H56" s="23"/>
    </row>
    <row r="57" spans="1:9" s="20" customFormat="1">
      <c r="A57" s="131">
        <v>11000</v>
      </c>
      <c r="B57" s="306">
        <v>0</v>
      </c>
      <c r="C57" s="134">
        <f>IF($C$55&gt;A57,A57,$C$55)</f>
        <v>11000</v>
      </c>
      <c r="D57" s="135">
        <f t="shared" ref="D57:D63" si="4">ROUND(B57*C57,4)</f>
        <v>0</v>
      </c>
      <c r="F57" s="23"/>
      <c r="G57" s="170"/>
      <c r="H57" s="23" t="s">
        <v>153</v>
      </c>
    </row>
    <row r="58" spans="1:9" s="20" customFormat="1">
      <c r="A58" s="131">
        <v>18000</v>
      </c>
      <c r="B58" s="306">
        <v>-0.2</v>
      </c>
      <c r="C58" s="134">
        <f>IF($C$55&gt;A58,A58-A57,$C$55-C57)</f>
        <v>7000</v>
      </c>
      <c r="D58" s="135">
        <f t="shared" si="4"/>
        <v>-1400</v>
      </c>
      <c r="F58" s="23"/>
      <c r="G58" s="170">
        <f>IF(C58&gt;0,B58,"")</f>
        <v>-0.2</v>
      </c>
      <c r="H58" s="23"/>
    </row>
    <row r="59" spans="1:9" s="20" customFormat="1">
      <c r="A59" s="131">
        <v>31000</v>
      </c>
      <c r="B59" s="306">
        <v>-0.32500000000000001</v>
      </c>
      <c r="C59" s="134">
        <f>IF($C$55&gt;A59,A59-A58,$C$55-SUM($C$57:C58))</f>
        <v>2656.1899999999987</v>
      </c>
      <c r="D59" s="135">
        <f t="shared" si="4"/>
        <v>-863.26179999999999</v>
      </c>
      <c r="F59" s="23"/>
      <c r="G59" s="170">
        <f>IF(C59&gt;0,B59-B58,"")</f>
        <v>-0.125</v>
      </c>
      <c r="H59" s="23"/>
    </row>
    <row r="60" spans="1:9" s="20" customFormat="1">
      <c r="A60" s="131">
        <v>60000</v>
      </c>
      <c r="B60" s="306">
        <v>-0.42</v>
      </c>
      <c r="C60" s="134">
        <f>IF($C$55&gt;A60,A60-A59,$C$55-SUM($C$57:C59))</f>
        <v>0</v>
      </c>
      <c r="D60" s="135">
        <f t="shared" si="4"/>
        <v>0</v>
      </c>
      <c r="F60" s="23"/>
      <c r="G60" s="170" t="str">
        <f t="shared" ref="G60:G63" si="5">IF(C60&gt;0,B60-B59,"")</f>
        <v/>
      </c>
      <c r="H60" s="23"/>
    </row>
    <row r="61" spans="1:9" s="20" customFormat="1">
      <c r="A61" s="131">
        <v>90000</v>
      </c>
      <c r="B61" s="306">
        <v>-0.48</v>
      </c>
      <c r="C61" s="134">
        <f>IF($C$55&gt;A61,A61-A60,$C$55-SUM($C$57:C60))</f>
        <v>0</v>
      </c>
      <c r="D61" s="135">
        <f t="shared" si="4"/>
        <v>0</v>
      </c>
      <c r="F61" s="23"/>
      <c r="G61" s="170" t="str">
        <f t="shared" si="5"/>
        <v/>
      </c>
      <c r="H61" s="23"/>
    </row>
    <row r="62" spans="1:9" s="20" customFormat="1">
      <c r="A62" s="131">
        <v>1000000</v>
      </c>
      <c r="B62" s="306">
        <v>-0.5</v>
      </c>
      <c r="C62" s="134">
        <f>IF($C$55&gt;A62,A62-A61,$C$55-SUM($C$57:C61))</f>
        <v>0</v>
      </c>
      <c r="D62" s="135">
        <f t="shared" si="4"/>
        <v>0</v>
      </c>
      <c r="F62" s="23"/>
      <c r="G62" s="170" t="str">
        <f t="shared" si="5"/>
        <v/>
      </c>
      <c r="H62" s="23"/>
    </row>
    <row r="63" spans="1:9" s="20" customFormat="1">
      <c r="A63" s="133"/>
      <c r="B63" s="306">
        <v>-0.55000000000000004</v>
      </c>
      <c r="C63" s="134">
        <f>$C$55-SUM($C$57:C62)</f>
        <v>0</v>
      </c>
      <c r="D63" s="135">
        <f t="shared" si="4"/>
        <v>0</v>
      </c>
      <c r="F63" s="23"/>
      <c r="G63" s="170" t="str">
        <f t="shared" si="5"/>
        <v/>
      </c>
      <c r="H63" s="23"/>
    </row>
    <row r="64" spans="1:9" s="20" customFormat="1" ht="1.8" customHeight="1">
      <c r="A64" s="70"/>
      <c r="B64" s="86"/>
      <c r="C64" s="74"/>
      <c r="E64" s="87"/>
      <c r="F64" s="23"/>
      <c r="G64" s="103"/>
      <c r="H64" s="23"/>
    </row>
    <row r="65" spans="1:8" s="20" customFormat="1">
      <c r="A65" s="64" t="s">
        <v>158</v>
      </c>
      <c r="B65" s="88">
        <v>0</v>
      </c>
      <c r="C65" s="74"/>
      <c r="E65" s="87">
        <f t="shared" ref="E65:E68" si="6">F65/C$55</f>
        <v>0</v>
      </c>
      <c r="F65" s="90"/>
      <c r="G65" s="103"/>
      <c r="H65" s="173"/>
    </row>
    <row r="66" spans="1:8" s="20" customFormat="1">
      <c r="A66" s="64" t="s">
        <v>159</v>
      </c>
      <c r="B66" s="88">
        <v>0</v>
      </c>
      <c r="C66" s="74"/>
      <c r="E66" s="87">
        <f t="shared" si="6"/>
        <v>0</v>
      </c>
      <c r="F66" s="90"/>
      <c r="G66" s="103"/>
      <c r="H66" s="23"/>
    </row>
    <row r="67" spans="1:8" s="20" customFormat="1" hidden="1">
      <c r="A67" s="174" t="s">
        <v>53</v>
      </c>
      <c r="B67" s="86"/>
      <c r="C67" s="74"/>
      <c r="E67" s="87"/>
      <c r="F67" s="175">
        <f>ROUND(IF(SUM(F55,F65)&gt;0,F66,SUM(F55,F65:F66)),2)</f>
        <v>-2263.2600000000002</v>
      </c>
      <c r="G67" s="103"/>
      <c r="H67" s="23"/>
    </row>
    <row r="68" spans="1:8" s="20" customFormat="1">
      <c r="A68" s="64" t="str">
        <f>IF(SUM(B68:B69)=1,"Ek Ehe-/Lebenspartner &lt; 6000,-/Jahr","Alleinverdiener, -erzieherabsetzbetrag")</f>
        <v>Alleinverdiener, -erzieherabsetzbetrag</v>
      </c>
      <c r="B68" s="88">
        <f>IF(ISBLANK(F68),0,1)</f>
        <v>0</v>
      </c>
      <c r="C68" s="89"/>
      <c r="E68" s="87">
        <f t="shared" si="6"/>
        <v>0</v>
      </c>
      <c r="F68" s="90"/>
      <c r="G68" s="103"/>
      <c r="H68" s="173"/>
    </row>
    <row r="69" spans="1:8" s="20" customFormat="1">
      <c r="A69" s="19" t="s">
        <v>52</v>
      </c>
      <c r="B69" s="88">
        <f>IF(F69=130,1,IF(F69=305,2,IF(F69=525,3,IF(F69=745,4,IF(F69=965,5,IF(F69=1185,6,IF(F69=1405,7,0)))))))</f>
        <v>0</v>
      </c>
      <c r="C69" s="21"/>
      <c r="D69" s="19"/>
      <c r="E69" s="87">
        <f>F69/C$55</f>
        <v>0</v>
      </c>
      <c r="F69" s="90"/>
      <c r="G69" s="103"/>
    </row>
    <row r="70" spans="1:8" s="20" customFormat="1" hidden="1">
      <c r="A70" s="79" t="s">
        <v>53</v>
      </c>
      <c r="B70" s="79"/>
      <c r="C70" s="80"/>
      <c r="D70" s="79"/>
      <c r="E70" s="91"/>
      <c r="F70" s="80">
        <f>ROUND(IF(F69=0,IF(SUM(F67,F68)&gt;0,0,SUM(F67:F69)),SUM(F67:F69)),2)</f>
        <v>-2263.2600000000002</v>
      </c>
      <c r="G70" s="103"/>
    </row>
    <row r="71" spans="1:8" s="20" customFormat="1">
      <c r="A71" s="25" t="s">
        <v>54</v>
      </c>
      <c r="B71" s="92">
        <f>IF(F71&gt;0,1,0)</f>
        <v>0</v>
      </c>
      <c r="C71" s="74"/>
      <c r="E71" s="87">
        <f>F71/C$55</f>
        <v>0</v>
      </c>
      <c r="F71" s="90"/>
      <c r="G71" s="103"/>
      <c r="H71" s="173"/>
    </row>
    <row r="72" spans="1:8" s="20" customFormat="1">
      <c r="A72" s="93" t="str">
        <f>IF(F72&lt;=0,"Einkommensteuer (ESt) des Jahres","ESt-Gutschrift aus Negativsteuer")</f>
        <v>Einkommensteuer (ESt) des Jahres</v>
      </c>
      <c r="B72" s="93"/>
      <c r="C72" s="80">
        <f>F72</f>
        <v>-2263</v>
      </c>
      <c r="D72" s="51">
        <f>ROUND(C72/C37,3)</f>
        <v>-8.1000000000000003E-2</v>
      </c>
      <c r="E72" s="91">
        <f>SUM(E55:E71)</f>
        <v>-0.10956812461543007</v>
      </c>
      <c r="F72" s="80">
        <f>ROUND(IF(F70&gt;0,F70,IF(SUM(F70:F71)&gt;0,0,SUM(F70:F71))),0)</f>
        <v>-2263</v>
      </c>
      <c r="G72" s="74" t="str">
        <f>IF(G49="inkl. MKZ für",IF(B69&gt;2,IF(ISBLANK(G51),ROUND(G50*20,2),ROUND(G51*20,2)),""),"")</f>
        <v/>
      </c>
    </row>
    <row r="73" spans="1:8" s="20" customFormat="1" ht="13.5" customHeight="1" thickBot="1">
      <c r="A73" s="94" t="s">
        <v>156</v>
      </c>
      <c r="B73" s="95"/>
      <c r="C73" s="96">
        <f>SUM(C55,C72)</f>
        <v>18393.189999999999</v>
      </c>
      <c r="D73" s="122">
        <f>ROUND(C73/C37,3)</f>
        <v>0.66100000000000003</v>
      </c>
      <c r="E73" s="323" t="str">
        <f>IF(C55&lt;=11000,"",CONCATENATE(" (Grenzsteuersatz .. ",SUM(G58:G63)*-100," %)"))</f>
        <v xml:space="preserve"> (Grenzsteuersatz .. 32,5 %)</v>
      </c>
      <c r="F73" s="323"/>
    </row>
    <row r="74" spans="1:8" s="20" customFormat="1" ht="29.25" customHeight="1" thickTop="1">
      <c r="A74" s="26"/>
      <c r="B74" s="26"/>
      <c r="C74" s="27"/>
      <c r="D74" s="27"/>
      <c r="E74" s="27"/>
      <c r="F74" s="39"/>
    </row>
    <row r="75" spans="1:8" ht="12">
      <c r="A75" s="1" t="s">
        <v>63</v>
      </c>
      <c r="B75" s="2" t="s">
        <v>0</v>
      </c>
      <c r="C75" s="2" t="s">
        <v>1</v>
      </c>
      <c r="D75" s="34" t="s">
        <v>4</v>
      </c>
      <c r="E75" s="35"/>
      <c r="F75" s="104" t="s">
        <v>58</v>
      </c>
    </row>
    <row r="76" spans="1:8">
      <c r="A76" s="4" t="s">
        <v>5</v>
      </c>
      <c r="B76" s="53">
        <f>ROUND(B11,2)</f>
        <v>3000</v>
      </c>
      <c r="C76" s="18">
        <f>B76*12</f>
        <v>36000</v>
      </c>
      <c r="D76" s="57">
        <v>1</v>
      </c>
    </row>
    <row r="77" spans="1:8">
      <c r="A77" s="4" t="s">
        <v>92</v>
      </c>
      <c r="B77" s="54">
        <f>ROUND(SUM(B14:B16,B18:B23,B25:B30,B32:B33),2)</f>
        <v>0</v>
      </c>
      <c r="C77" s="18">
        <f>B77*12</f>
        <v>0</v>
      </c>
      <c r="D77" s="57">
        <f>ROUND(B77/B76,3)</f>
        <v>0</v>
      </c>
    </row>
    <row r="78" spans="1:8">
      <c r="A78" s="16" t="s">
        <v>7</v>
      </c>
      <c r="B78" s="53">
        <f>ROUND(B47,2)</f>
        <v>-930.65</v>
      </c>
      <c r="C78" s="18">
        <f>B78*12</f>
        <v>-11167.8</v>
      </c>
      <c r="D78" s="57">
        <f>ROUND(B78/B76,3)</f>
        <v>-0.31</v>
      </c>
      <c r="E78" s="123" t="str">
        <f>CONCATENATE(" (davon  ",ROUND(SUM(C40,C78),2)," Nachforderung)")</f>
        <v xml:space="preserve"> (davon  -3007,8 Nachforderung)</v>
      </c>
    </row>
    <row r="79" spans="1:8">
      <c r="A79" s="4" t="s">
        <v>157</v>
      </c>
      <c r="B79" s="53">
        <f>ROUND(C72/12,2)</f>
        <v>-188.58</v>
      </c>
      <c r="C79" s="18">
        <f>B79*12</f>
        <v>-2262.96</v>
      </c>
      <c r="D79" s="57">
        <f>ROUND(B79/B76,3)</f>
        <v>-6.3E-2</v>
      </c>
    </row>
    <row r="80" spans="1:8" ht="12" thickBot="1">
      <c r="A80" s="8" t="s">
        <v>55</v>
      </c>
      <c r="B80" s="55">
        <f>ROUND(SUM(B76:B79),2)</f>
        <v>1880.77</v>
      </c>
      <c r="C80" s="28">
        <f>B80*12</f>
        <v>22569.239999999998</v>
      </c>
      <c r="D80" s="58">
        <f>ROUND(B80/B76,4)</f>
        <v>0.62690000000000001</v>
      </c>
      <c r="E80" s="38"/>
      <c r="F80" s="37"/>
    </row>
    <row r="81" spans="1:6" ht="12.6" thickTop="1" thickBot="1">
      <c r="A81" s="29" t="s">
        <v>56</v>
      </c>
      <c r="B81" s="56">
        <f>ROUND(B80*12/14,2)</f>
        <v>1612.09</v>
      </c>
      <c r="C81" s="97"/>
      <c r="D81" s="98"/>
      <c r="E81" s="99"/>
      <c r="F81" s="99"/>
    </row>
    <row r="82" spans="1:6" s="20" customFormat="1" ht="25.5" customHeight="1" thickTop="1">
      <c r="A82" s="26"/>
      <c r="B82" s="26"/>
      <c r="C82" s="27"/>
      <c r="D82" s="27"/>
      <c r="E82" s="27"/>
      <c r="F82" s="39"/>
    </row>
    <row r="83" spans="1:6" ht="13.2">
      <c r="A83" s="108" t="s">
        <v>64</v>
      </c>
      <c r="B83" s="2" t="s">
        <v>0</v>
      </c>
      <c r="C83" s="2" t="s">
        <v>1</v>
      </c>
      <c r="D83" s="34"/>
      <c r="E83" s="35"/>
      <c r="F83" s="104" t="s">
        <v>58</v>
      </c>
    </row>
    <row r="84" spans="1:6" ht="13.5" customHeight="1">
      <c r="A84" s="20" t="s">
        <v>59</v>
      </c>
      <c r="B84" s="105">
        <f>C84/12</f>
        <v>2069.3491666666669</v>
      </c>
      <c r="C84" s="105">
        <f>C11+C34+C47-C17-C31-C33</f>
        <v>24832.190000000002</v>
      </c>
    </row>
    <row r="85" spans="1:6">
      <c r="A85" s="20" t="s">
        <v>60</v>
      </c>
      <c r="B85" s="105">
        <f>C85/12</f>
        <v>0</v>
      </c>
      <c r="C85" s="105">
        <f>C33</f>
        <v>0</v>
      </c>
    </row>
    <row r="86" spans="1:6">
      <c r="A86" s="93" t="s">
        <v>61</v>
      </c>
      <c r="B86" s="80">
        <f>SUM(B84:B85)</f>
        <v>2069.3491666666669</v>
      </c>
      <c r="C86" s="80">
        <f>SUM(C84:C85)</f>
        <v>24832.190000000002</v>
      </c>
    </row>
    <row r="87" spans="1:6">
      <c r="A87" s="20" t="s">
        <v>62</v>
      </c>
      <c r="B87" s="105">
        <f>C87/12</f>
        <v>0</v>
      </c>
      <c r="C87" s="105">
        <f>C17</f>
        <v>0</v>
      </c>
    </row>
    <row r="88" spans="1:6" ht="12" thickBot="1">
      <c r="A88" s="106" t="str">
        <f>IF(C88&lt;0,"   V e r l u s t","   G e w i n n   ( Überschuß)")</f>
        <v xml:space="preserve">   G e w i n n   ( Überschuß)</v>
      </c>
      <c r="B88" s="107">
        <f>ROUND(SUM(B86:B87),2)</f>
        <v>2069.35</v>
      </c>
      <c r="C88" s="107">
        <f>ROUND(SUM(C86:C87),2)</f>
        <v>24832.19</v>
      </c>
      <c r="D88" s="109"/>
      <c r="E88" s="37"/>
      <c r="F88" s="37"/>
    </row>
    <row r="89" spans="1:6" s="20" customFormat="1" ht="25.5" customHeight="1" thickTop="1">
      <c r="A89" s="26"/>
      <c r="B89" s="26"/>
      <c r="C89" s="27"/>
      <c r="D89" s="27"/>
      <c r="E89" s="27"/>
      <c r="F89" s="39"/>
    </row>
    <row r="90" spans="1:6" ht="13.2">
      <c r="A90" s="108" t="s">
        <v>65</v>
      </c>
      <c r="B90" s="2" t="s">
        <v>0</v>
      </c>
      <c r="C90" s="2" t="s">
        <v>1</v>
      </c>
      <c r="D90" s="34"/>
      <c r="E90" s="35"/>
      <c r="F90" s="104" t="s">
        <v>58</v>
      </c>
    </row>
    <row r="91" spans="1:6" ht="12.75" customHeight="1">
      <c r="A91" s="4" t="s">
        <v>66</v>
      </c>
      <c r="C91" s="113"/>
    </row>
    <row r="92" spans="1:6">
      <c r="A92" s="110" t="s">
        <v>67</v>
      </c>
      <c r="B92" s="111"/>
      <c r="C92" s="46"/>
    </row>
    <row r="93" spans="1:6" ht="14.25" customHeight="1">
      <c r="A93" s="4" t="s">
        <v>68</v>
      </c>
      <c r="C93" s="18">
        <f>SUM(C91:C92)</f>
        <v>0</v>
      </c>
    </row>
    <row r="94" spans="1:6">
      <c r="A94" s="110" t="s">
        <v>69</v>
      </c>
      <c r="B94" s="111"/>
      <c r="C94" s="46"/>
      <c r="D94" s="114"/>
      <c r="E94" s="112">
        <f>SUM(C93:C94)</f>
        <v>0</v>
      </c>
    </row>
    <row r="95" spans="1:6" ht="17.25" customHeight="1">
      <c r="A95" s="4" t="s">
        <v>70</v>
      </c>
      <c r="B95" s="18">
        <f>C95/12</f>
        <v>1880.7699999999998</v>
      </c>
      <c r="C95" s="18">
        <f>C80</f>
        <v>22569.239999999998</v>
      </c>
    </row>
    <row r="96" spans="1:6">
      <c r="A96" s="110" t="s">
        <v>71</v>
      </c>
      <c r="B96" s="46"/>
      <c r="C96" s="112">
        <f>B96*12</f>
        <v>0</v>
      </c>
      <c r="D96" s="114"/>
      <c r="E96" s="112">
        <f>SUM(C95:C96)</f>
        <v>22569.239999999998</v>
      </c>
    </row>
    <row r="97" spans="1:9" ht="13.5" customHeight="1">
      <c r="A97" s="4" t="s">
        <v>72</v>
      </c>
      <c r="B97" s="18">
        <f>C97/12</f>
        <v>0</v>
      </c>
      <c r="C97" s="113"/>
      <c r="E97" s="18">
        <f>C97</f>
        <v>0</v>
      </c>
    </row>
    <row r="98" spans="1:9" ht="15" customHeight="1" thickBot="1">
      <c r="A98" s="106" t="str">
        <f>IF(C98&lt;0,"   U n t e r d e c k u n g   gesamt","   Ü b e r d e c k u n g   gesamt")</f>
        <v xml:space="preserve">   Ü b e r d e c k u n g   gesamt</v>
      </c>
      <c r="B98" s="9"/>
      <c r="C98" s="28">
        <f>SUM(C93:C97)</f>
        <v>22569.239999999998</v>
      </c>
      <c r="D98" s="109"/>
      <c r="E98" s="28">
        <f>SUM(E94:E97)</f>
        <v>22569.239999999998</v>
      </c>
      <c r="F98" s="37"/>
    </row>
    <row r="99" spans="1:9" s="20" customFormat="1" ht="25.5" customHeight="1" thickTop="1">
      <c r="A99" s="26"/>
      <c r="B99" s="26"/>
      <c r="C99" s="27"/>
      <c r="D99" s="27"/>
      <c r="E99" s="27"/>
      <c r="F99" s="39"/>
    </row>
    <row r="100" spans="1:9">
      <c r="C100" s="5"/>
    </row>
    <row r="101" spans="1:9">
      <c r="C101" s="5"/>
    </row>
    <row r="102" spans="1:9">
      <c r="C102" s="5"/>
    </row>
    <row r="103" spans="1:9">
      <c r="C103" s="5"/>
    </row>
    <row r="104" spans="1:9">
      <c r="C104" s="5"/>
    </row>
    <row r="105" spans="1:9">
      <c r="C105" s="5"/>
    </row>
    <row r="106" spans="1:9">
      <c r="C106" s="5"/>
    </row>
    <row r="107" spans="1:9">
      <c r="C107" s="5"/>
    </row>
    <row r="108" spans="1:9">
      <c r="C108" s="5"/>
    </row>
    <row r="109" spans="1:9" s="7" customFormat="1">
      <c r="A109" s="4"/>
      <c r="B109" s="5"/>
      <c r="C109" s="5"/>
      <c r="E109" s="3"/>
      <c r="F109" s="3"/>
      <c r="G109" s="3"/>
      <c r="H109" s="3"/>
      <c r="I109" s="3"/>
    </row>
    <row r="110" spans="1:9" s="7" customFormat="1">
      <c r="A110" s="4"/>
      <c r="B110" s="5"/>
      <c r="C110" s="5"/>
      <c r="E110" s="3"/>
      <c r="F110" s="3"/>
      <c r="G110" s="3"/>
      <c r="H110" s="3"/>
      <c r="I110" s="3"/>
    </row>
    <row r="111" spans="1:9" s="7" customFormat="1">
      <c r="A111" s="4"/>
      <c r="B111" s="5"/>
      <c r="C111" s="5"/>
      <c r="E111" s="3"/>
      <c r="F111" s="3"/>
      <c r="G111" s="3"/>
      <c r="H111" s="3"/>
      <c r="I111" s="3"/>
    </row>
    <row r="112" spans="1:9" s="7" customFormat="1">
      <c r="A112" s="4"/>
      <c r="B112" s="5"/>
      <c r="C112" s="5"/>
      <c r="E112" s="3"/>
      <c r="F112" s="3"/>
      <c r="G112" s="3"/>
      <c r="H112" s="3"/>
      <c r="I112" s="3"/>
    </row>
    <row r="113" spans="1:9" s="7" customFormat="1">
      <c r="A113" s="4"/>
      <c r="B113" s="5"/>
      <c r="C113" s="5"/>
      <c r="E113" s="3"/>
      <c r="F113" s="3"/>
      <c r="G113" s="3"/>
      <c r="H113" s="3"/>
      <c r="I113" s="3"/>
    </row>
    <row r="114" spans="1:9" s="7" customFormat="1">
      <c r="A114" s="4"/>
      <c r="B114" s="5"/>
      <c r="C114" s="5"/>
      <c r="E114" s="3"/>
      <c r="F114" s="3"/>
      <c r="G114" s="3"/>
      <c r="H114" s="3"/>
      <c r="I114" s="3"/>
    </row>
    <row r="115" spans="1:9" s="7" customFormat="1">
      <c r="A115" s="4"/>
      <c r="B115" s="5"/>
      <c r="C115" s="5"/>
      <c r="E115" s="3"/>
      <c r="F115" s="3"/>
      <c r="G115" s="3"/>
      <c r="H115" s="3"/>
      <c r="I115" s="3"/>
    </row>
    <row r="116" spans="1:9" s="7" customFormat="1">
      <c r="A116" s="4"/>
      <c r="B116" s="5"/>
      <c r="C116" s="5"/>
      <c r="E116" s="3"/>
      <c r="F116" s="3"/>
      <c r="G116" s="3"/>
      <c r="H116" s="3"/>
      <c r="I116" s="3"/>
    </row>
    <row r="117" spans="1:9" s="7" customFormat="1">
      <c r="A117" s="4"/>
      <c r="B117" s="5"/>
      <c r="C117" s="5"/>
      <c r="E117" s="3"/>
      <c r="F117" s="3"/>
      <c r="G117" s="3"/>
      <c r="H117" s="3"/>
      <c r="I117" s="3"/>
    </row>
    <row r="118" spans="1:9" s="7" customFormat="1">
      <c r="A118" s="4"/>
      <c r="B118" s="5"/>
      <c r="C118" s="5"/>
      <c r="E118" s="3"/>
      <c r="F118" s="3"/>
      <c r="G118" s="3"/>
      <c r="H118" s="3"/>
      <c r="I118" s="3"/>
    </row>
    <row r="119" spans="1:9" s="7" customFormat="1">
      <c r="A119" s="4"/>
      <c r="B119" s="5"/>
      <c r="C119" s="5"/>
      <c r="E119" s="3"/>
      <c r="F119" s="3"/>
      <c r="G119" s="3"/>
      <c r="H119" s="3"/>
      <c r="I119" s="3"/>
    </row>
    <row r="120" spans="1:9" s="7" customFormat="1">
      <c r="A120" s="4"/>
      <c r="B120" s="5"/>
      <c r="C120" s="5"/>
      <c r="E120" s="3"/>
      <c r="F120" s="3"/>
      <c r="G120" s="3"/>
      <c r="H120" s="3"/>
      <c r="I120" s="3"/>
    </row>
  </sheetData>
  <sheetProtection password="C837" sheet="1" objects="1" scenarios="1" autoFilter="0"/>
  <mergeCells count="4">
    <mergeCell ref="A1:D1"/>
    <mergeCell ref="E1:F1"/>
    <mergeCell ref="D42:F42"/>
    <mergeCell ref="E73:F73"/>
  </mergeCells>
  <conditionalFormatting sqref="F68">
    <cfRule type="expression" dxfId="217" priority="1">
      <formula>AND($F$66&gt;0,$F$69&lt;1)</formula>
    </cfRule>
    <cfRule type="expression" dxfId="216" priority="5" stopIfTrue="1">
      <formula>AND(F68=0,F69&gt;0)</formula>
    </cfRule>
  </conditionalFormatting>
  <conditionalFormatting sqref="B68">
    <cfRule type="expression" dxfId="215" priority="6" stopIfTrue="1">
      <formula>AND(F68=0,F69&gt;0)</formula>
    </cfRule>
  </conditionalFormatting>
  <conditionalFormatting sqref="B69">
    <cfRule type="expression" dxfId="214" priority="7" stopIfTrue="1">
      <formula>AND(F68=0,F69&gt;0)</formula>
    </cfRule>
  </conditionalFormatting>
  <conditionalFormatting sqref="G49">
    <cfRule type="expression" dxfId="213" priority="8" stopIfTrue="1">
      <formula>AND(B69&gt;2)</formula>
    </cfRule>
  </conditionalFormatting>
  <conditionalFormatting sqref="G52:G56 G64:G71">
    <cfRule type="expression" dxfId="212" priority="9" stopIfTrue="1">
      <formula>AND(B$69&gt;2)</formula>
    </cfRule>
  </conditionalFormatting>
  <conditionalFormatting sqref="G72">
    <cfRule type="expression" dxfId="211" priority="10" stopIfTrue="1">
      <formula>AND(B69&gt;2)</formula>
    </cfRule>
  </conditionalFormatting>
  <conditionalFormatting sqref="G48">
    <cfRule type="expression" dxfId="210" priority="11" stopIfTrue="1">
      <formula>AND(B69&gt;2)</formula>
    </cfRule>
  </conditionalFormatting>
  <conditionalFormatting sqref="G51">
    <cfRule type="expression" dxfId="209" priority="12" stopIfTrue="1">
      <formula>AND(B69&gt;2)</formula>
    </cfRule>
  </conditionalFormatting>
  <conditionalFormatting sqref="G50">
    <cfRule type="expression" dxfId="208" priority="13" stopIfTrue="1">
      <formula>AND(B69&gt;2)</formula>
    </cfRule>
  </conditionalFormatting>
  <conditionalFormatting sqref="E78">
    <cfRule type="expression" dxfId="207" priority="14" stopIfTrue="1">
      <formula>SUM(C40,C78)&lt;0</formula>
    </cfRule>
  </conditionalFormatting>
  <conditionalFormatting sqref="D38">
    <cfRule type="cellIs" dxfId="206" priority="15" stopIfTrue="1" operator="notBetween">
      <formula>0</formula>
      <formula>-0.15</formula>
    </cfRule>
  </conditionalFormatting>
  <conditionalFormatting sqref="F69">
    <cfRule type="expression" dxfId="205" priority="2">
      <formula>AND(F66&gt;0,F69&lt;1)</formula>
    </cfRule>
    <cfRule type="expression" dxfId="204" priority="16" stopIfTrue="1">
      <formula>AND(F68=0,F69&gt;0)</formula>
    </cfRule>
    <cfRule type="expression" dxfId="203" priority="17" stopIfTrue="1">
      <formula>AND(F68&gt;0,F69=0)</formula>
    </cfRule>
  </conditionalFormatting>
  <conditionalFormatting sqref="G57:G63">
    <cfRule type="expression" dxfId="202" priority="4" stopIfTrue="1">
      <formula>AND(B$69&gt;2)</formula>
    </cfRule>
  </conditionalFormatting>
  <conditionalFormatting sqref="F65">
    <cfRule type="expression" dxfId="201" priority="3">
      <formula>AND(SUM($F$55,$F$65)&gt;0)</formula>
    </cfRule>
  </conditionalFormatting>
  <dataValidations count="22">
    <dataValidation type="decimal" allowBlank="1" showInputMessage="1" showErrorMessage="1" sqref="F66">
      <formula1>0</formula1>
      <formula2>2499</formula2>
    </dataValidation>
    <dataValidation type="decimal" allowBlank="1" showInputMessage="1" showErrorMessage="1" sqref="F65">
      <formula1>0</formula1>
      <formula2>14999</formula2>
    </dataValidation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allowBlank="1" showInputMessage="1" showErrorMessage="1" errorTitle="RVO zu Unterhaltsabsetzbetrag:" error="Eingabe derzeit auf 0 bis 2.000,- beschränkt!" sqref="F71">
      <formula1>0</formula1>
      <formula2>2000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KiFB:" error="Die Eingabe erlaubt einen negativen Wert von -2200,- bis 0!" sqref="C51">
      <formula1>-3080</formula1>
      <formula2>0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: Fehler zu Einnahme!" error="Werte zwischen Null und 999.999,- erlaubt!" sqref="C94 B3:B10">
      <formula1>0</formula1>
      <formula2>999999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Ausgabe!" error="Nur negative Werte zwischen Null und &quot;Minus&quot;  -999.999,- erlaubt!" sqref="C91:C92 B96 B14:B33">
      <formula1>-999999</formula1>
      <formula2>0</formula2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list" allowBlank="1" showInputMessage="1" showErrorMessage="1" errorTitle="RVO zu Kinderzuschlag:" error="Eingabe lt. Liste. Die Werte steigen nach Anzahl der Kinder!" sqref="F69">
      <formula1>"0,130,305,525,745,965,1185,1405"</formula1>
    </dataValidation>
    <dataValidation type="list" operator="equal" allowBlank="1" showInputMessage="1" showErrorMessage="1" errorTitle="RVO zu Absetzbetrag:" error="Wert Null oder 364 gefordert!" sqref="F68">
      <formula1>"0,364"</formula1>
    </dataValidation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</dataValidations>
  <hyperlinks>
    <hyperlink ref="F36" r:id="rId1" display="www.rvo.at"/>
    <hyperlink ref="F75" r:id="rId2" display="www.rvo.at"/>
    <hyperlink ref="F83" r:id="rId3" display="www.rvo.at"/>
    <hyperlink ref="F90" r:id="rId4" display="www.rvo.at"/>
    <hyperlink ref="G43" r:id="rId5"/>
    <hyperlink ref="H48" r:id="rId6" display="https://www.frauen-familien-jugend.bka.gv.at/familie/finanzielle-unterstuetzungen/mehrkindzuschlag.html"/>
    <hyperlink ref="H49" r:id="rId7"/>
  </hyperlinks>
  <printOptions horizontalCentered="1" gridLines="1"/>
  <pageMargins left="0.35" right="0.21" top="0.48" bottom="0.49" header="0.25" footer="0.23"/>
  <pageSetup paperSize="9" orientation="portrait" r:id="rId8"/>
  <headerFooter alignWithMargins="0">
    <oddHeader>&amp;L&amp;8&amp;F&amp;C&amp;8&amp;A&amp;R&amp;8&amp;D</oddHeader>
    <oddFooter>&amp;L&amp;8copyright © www.rvo.at</oddFooter>
  </headerFooter>
  <legacyDrawing r:id="rId9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"/>
  <sheetViews>
    <sheetView zoomScaleNormal="100" workbookViewId="0">
      <pane ySplit="1" topLeftCell="A2" activePane="bottomLeft" state="frozen"/>
      <selection activeCell="G24" sqref="G24"/>
      <selection pane="bottomLeft" activeCell="A12" sqref="A12"/>
    </sheetView>
  </sheetViews>
  <sheetFormatPr baseColWidth="10" defaultColWidth="11.44140625" defaultRowHeight="11.4"/>
  <cols>
    <col min="1" max="1" width="12.44140625" style="168" customWidth="1"/>
    <col min="2" max="2" width="11.21875" style="169" customWidth="1"/>
    <col min="3" max="3" width="12.33203125" style="138" customWidth="1"/>
    <col min="4" max="4" width="11.5546875" style="167" customWidth="1"/>
    <col min="5" max="5" width="11.6640625" style="138" customWidth="1"/>
    <col min="6" max="6" width="10.6640625" style="138" hidden="1" customWidth="1"/>
    <col min="7" max="7" width="10.6640625" style="138" customWidth="1"/>
    <col min="8" max="8" width="11.44140625" style="138" bestFit="1" customWidth="1"/>
    <col min="9" max="16384" width="11.44140625" style="138"/>
  </cols>
  <sheetData>
    <row r="1" spans="1:11" ht="15" customHeight="1">
      <c r="A1" s="324" t="s">
        <v>151</v>
      </c>
      <c r="B1" s="324"/>
      <c r="C1" s="324"/>
      <c r="D1" s="324"/>
      <c r="E1" s="324"/>
      <c r="F1" s="303"/>
      <c r="G1" s="303" t="s">
        <v>58</v>
      </c>
      <c r="H1" s="137" t="s">
        <v>58</v>
      </c>
    </row>
    <row r="2" spans="1:11" ht="17.399999999999999" customHeight="1">
      <c r="A2" s="139" t="s">
        <v>147</v>
      </c>
      <c r="B2" s="140" t="s">
        <v>148</v>
      </c>
      <c r="C2" s="140" t="s">
        <v>106</v>
      </c>
      <c r="D2" s="141" t="s">
        <v>107</v>
      </c>
      <c r="E2" s="141" t="s">
        <v>108</v>
      </c>
      <c r="F2" s="141"/>
      <c r="H2" s="142"/>
      <c r="I2" s="143"/>
    </row>
    <row r="3" spans="1:11">
      <c r="A3" s="144">
        <v>11000</v>
      </c>
      <c r="B3" s="304">
        <v>0</v>
      </c>
      <c r="C3" s="146">
        <v>-11000</v>
      </c>
      <c r="D3" s="147">
        <v>0</v>
      </c>
      <c r="E3" s="304">
        <v>0</v>
      </c>
      <c r="F3" s="145"/>
      <c r="G3" s="143"/>
      <c r="J3" s="145" t="s">
        <v>145</v>
      </c>
    </row>
    <row r="4" spans="1:11">
      <c r="A4" s="144">
        <v>18000</v>
      </c>
      <c r="B4" s="304">
        <v>-0.2</v>
      </c>
      <c r="C4" s="146">
        <f t="shared" ref="C4:C8" si="0">A3-A4</f>
        <v>-7000</v>
      </c>
      <c r="D4" s="147">
        <f>B4*C4</f>
        <v>1400</v>
      </c>
      <c r="E4" s="304">
        <f t="shared" ref="E4:E9" si="1">B3-B4</f>
        <v>0.2</v>
      </c>
      <c r="F4" s="145"/>
      <c r="G4" s="145"/>
      <c r="J4" s="145" t="s">
        <v>109</v>
      </c>
    </row>
    <row r="5" spans="1:11">
      <c r="A5" s="144">
        <v>31000</v>
      </c>
      <c r="B5" s="304">
        <v>-0.32500000000000001</v>
      </c>
      <c r="C5" s="146">
        <f t="shared" si="0"/>
        <v>-13000</v>
      </c>
      <c r="D5" s="147">
        <f>B5*C5+D4</f>
        <v>5625</v>
      </c>
      <c r="E5" s="304">
        <f t="shared" si="1"/>
        <v>0.125</v>
      </c>
      <c r="F5" s="145"/>
      <c r="G5" s="145"/>
      <c r="J5" s="145" t="s">
        <v>110</v>
      </c>
    </row>
    <row r="6" spans="1:11">
      <c r="A6" s="144">
        <v>60000</v>
      </c>
      <c r="B6" s="304">
        <v>-0.42</v>
      </c>
      <c r="C6" s="146">
        <f t="shared" si="0"/>
        <v>-29000</v>
      </c>
      <c r="D6" s="147">
        <f>B6*C6+D5</f>
        <v>17805</v>
      </c>
      <c r="E6" s="304">
        <f t="shared" si="1"/>
        <v>9.4999999999999973E-2</v>
      </c>
      <c r="F6" s="145"/>
      <c r="G6" s="145"/>
      <c r="H6" s="145"/>
    </row>
    <row r="7" spans="1:11">
      <c r="A7" s="144">
        <v>90000</v>
      </c>
      <c r="B7" s="304">
        <v>-0.48</v>
      </c>
      <c r="C7" s="146">
        <f t="shared" si="0"/>
        <v>-30000</v>
      </c>
      <c r="D7" s="147">
        <f>B7*C7+D6</f>
        <v>32205</v>
      </c>
      <c r="E7" s="304">
        <f t="shared" si="1"/>
        <v>0.06</v>
      </c>
      <c r="F7" s="145"/>
      <c r="G7" s="145"/>
      <c r="H7" s="145"/>
    </row>
    <row r="8" spans="1:11">
      <c r="A8" s="144">
        <v>1000000</v>
      </c>
      <c r="B8" s="304">
        <v>-0.5</v>
      </c>
      <c r="C8" s="146">
        <f t="shared" si="0"/>
        <v>-910000</v>
      </c>
      <c r="D8" s="147">
        <f>B8*C8+D7</f>
        <v>487205</v>
      </c>
      <c r="E8" s="304">
        <f t="shared" si="1"/>
        <v>2.0000000000000018E-2</v>
      </c>
      <c r="F8" s="145"/>
      <c r="G8" s="145"/>
      <c r="H8" s="145"/>
    </row>
    <row r="9" spans="1:11">
      <c r="A9" s="148" t="s">
        <v>111</v>
      </c>
      <c r="B9" s="304">
        <v>-0.55000000000000004</v>
      </c>
      <c r="C9" s="149"/>
      <c r="D9" s="150"/>
      <c r="E9" s="304">
        <f t="shared" si="1"/>
        <v>5.0000000000000044E-2</v>
      </c>
      <c r="F9" s="145"/>
      <c r="G9" s="145"/>
      <c r="H9" s="145"/>
      <c r="I9" s="147"/>
      <c r="J9" s="147"/>
    </row>
    <row r="10" spans="1:11">
      <c r="A10" s="151"/>
      <c r="B10" s="145"/>
      <c r="C10" s="149"/>
      <c r="D10" s="150"/>
      <c r="E10" s="145"/>
      <c r="F10" s="145"/>
      <c r="G10" s="145"/>
      <c r="H10" s="145"/>
      <c r="I10" s="147"/>
      <c r="J10" s="147"/>
    </row>
    <row r="11" spans="1:11">
      <c r="A11" s="152" t="s">
        <v>112</v>
      </c>
      <c r="B11" s="153" t="s">
        <v>148</v>
      </c>
      <c r="C11" s="153" t="s">
        <v>150</v>
      </c>
      <c r="D11" s="154" t="s">
        <v>144</v>
      </c>
      <c r="E11" s="154" t="s">
        <v>149</v>
      </c>
      <c r="F11" s="154" t="s">
        <v>114</v>
      </c>
      <c r="G11" s="155"/>
      <c r="H11" s="153" t="s">
        <v>152</v>
      </c>
      <c r="I11" s="154" t="s">
        <v>149</v>
      </c>
    </row>
    <row r="12" spans="1:11" ht="18" customHeight="1">
      <c r="A12" s="156">
        <v>25000</v>
      </c>
      <c r="B12" s="305">
        <f>ROUND(IF(A12&lt;=11000,0,IF(A12&lt;=18000,"-20 %",IF(A12&lt;=31000,"-32,5 %",IF(A12&lt;=60000,"-42 %",IF(A12&lt;=90000,"-48 %",IF(A12&lt;=1000000,"-50 %","-55 %")))))),3)</f>
        <v>-0.32500000000000001</v>
      </c>
      <c r="C12" s="158">
        <f t="shared" ref="C12:C74" si="2">ROUND(IF(A12&lt;$A$3,0,IF(A12&lt;$A$4,(A12-$A$3)*$B$4,IF(A12&lt;$A$5,(A12-$A$4)*$B$5-$D$4,IF(A12&lt;$A$6,(A12-$A$5)*$B$6-$D$5,IF(A12&lt;$A$7,(A12-$A$6)*$B$7-$D$6,IF(A12&lt;$A$8,(A12-$A$7)*$B$8-$D$7,(A12-$A$8)*$B$9-$D$8)))))),2)</f>
        <v>-3675</v>
      </c>
      <c r="D12" s="159">
        <f>ROUND(IF(A12&lt;11000,0,IF(A12&lt;18000,(A12-11000)*-0.25,IF(A12&lt;31000,(A12-18000)*-0.35-1750,IF(A12&lt;60000,(A12-31000)*-0.42-6300,IF(A12&lt;90000,(A12-60000)*-0.48-18480,IF(A12&lt;1000000,(A12-90000)*-0.5-32880,(A12-1000000)*-0.55-487880)))))),2)</f>
        <v>-4200</v>
      </c>
      <c r="E12" s="159">
        <f>G12-D12</f>
        <v>525</v>
      </c>
      <c r="F12" s="159">
        <f t="shared" ref="F12:F74" si="3">ROUND(IF(A12&lt;=11000,0,IF(A12&lt;=25000,(A12-11000)*5110/14000,IF(A12&lt;=60000,(A12-25000)*15125/35000+5110,(A12-60000)*0.5+20235)))*-1,2)</f>
        <v>-5110</v>
      </c>
      <c r="G12" s="160">
        <f>ROUND(IF(A12&lt;11000,0,IF(A12&lt;18000,(A12-11000)*-0.2,IF(A12&lt;31000,(A12-18000)*-0.325-1400,IF(A12&lt;60000,(A12-31000)*-0.42-5625,IF(A12&lt;90000,(A12-60000)*-0.48-17805,IF(A12&lt;1000000,(A12-90000)*-0.5-32205,(A12-1000000)*-0.55-487205)))))),2)</f>
        <v>-3675</v>
      </c>
      <c r="H12" s="172">
        <f t="shared" ref="H12:H74" si="4">ROUND(C12/A12,4)</f>
        <v>-0.14699999999999999</v>
      </c>
      <c r="I12" s="172">
        <f t="shared" ref="I12:I74" si="5">ROUND(E12/A12,4)</f>
        <v>2.1000000000000001E-2</v>
      </c>
      <c r="J12" s="161" t="s">
        <v>118</v>
      </c>
      <c r="K12" s="138" t="s">
        <v>116</v>
      </c>
    </row>
    <row r="13" spans="1:11">
      <c r="A13" s="162">
        <v>11000</v>
      </c>
      <c r="B13" s="256">
        <f>ROUND(IF(A13&lt;=11000,0,IF(A13&lt;=18000,"-25 %",IF(A13&lt;=31000,"-35 %",IF(A13&lt;=60000,"-42 %",IF(A13&lt;=90000,"-48 %",IF(A13&lt;=1000000,"-50 %","-55 %")))))),2)</f>
        <v>0</v>
      </c>
      <c r="C13" s="147">
        <f t="shared" si="2"/>
        <v>0</v>
      </c>
      <c r="D13" s="164">
        <f>ROUND(IF(A13&lt;11000,0,IF(A13&lt;18000,(A13-11000)*-0.25,IF(A13&lt;31000,(A13-18000)*-0.35-1750,IF(A13&lt;60000,(A13-31000)*-0.42-6300,IF(A13&lt;90000,(A13-60000)*-0.48-18480,IF(A13&lt;1000000,(A13-90000)*-0.5-32880,(A13-1000000)*-0.55-487880)))))),2)</f>
        <v>0</v>
      </c>
      <c r="E13" s="165">
        <f>C13-F13</f>
        <v>0</v>
      </c>
      <c r="F13" s="164">
        <f>ROUND(IF(A13&lt;=11000,0,IF(A13&lt;=25000,(A13-11000)*5110/14000,IF(A13&lt;=60000,(A13-25000)*15125/35000+5110,(A13-60000)*0.5+20235)))*-1,2)</f>
        <v>0</v>
      </c>
      <c r="G13" s="166">
        <f t="shared" ref="G13:G17" si="6">ROUND(IF(A13&lt;11000,0,IF(A13&lt;18000,(A13-11000)*-0.25,IF(A13&lt;31000,(A13-18000)*-0.35-1750,IF(A13&lt;60000,(A13-31000)*-0.42-6300,IF(A13&lt;90000,(A13-60000)*-0.48-18480,IF(A13&lt;1000000,(A13-90000)*-0.5-32880,(A13-1000000)*-0.55-487880)))))),2)</f>
        <v>0</v>
      </c>
      <c r="H13" s="299">
        <f t="shared" si="4"/>
        <v>0</v>
      </c>
      <c r="I13" s="299">
        <f t="shared" si="5"/>
        <v>0</v>
      </c>
      <c r="K13" s="300" t="s">
        <v>117</v>
      </c>
    </row>
    <row r="14" spans="1:11">
      <c r="A14" s="162">
        <v>12000</v>
      </c>
      <c r="B14" s="256">
        <v>-0.2</v>
      </c>
      <c r="C14" s="147">
        <f t="shared" si="2"/>
        <v>-200</v>
      </c>
      <c r="D14" s="164">
        <f>ROUND(IF(A14&lt;11000,0,IF(A14&lt;18000,(A14-11000)*-0.25,IF(A14&lt;31000,(A14-18000)*-0.35-1750,IF(A14&lt;60000,(A14-31000)*-0.42-6300,IF(A14&lt;90000,(A14-60000)*-0.48-18480,IF(A14&lt;1000000,(A14-90000)*-0.5-32880,(A14-1000000)*-0.55-487880)))))),2)</f>
        <v>-250</v>
      </c>
      <c r="E14" s="165">
        <f t="shared" ref="E14:E74" si="7">C14-D14</f>
        <v>50</v>
      </c>
      <c r="F14" s="164">
        <f t="shared" si="3"/>
        <v>-365</v>
      </c>
      <c r="G14" s="166">
        <f t="shared" si="6"/>
        <v>-250</v>
      </c>
      <c r="H14" s="299">
        <f t="shared" si="4"/>
        <v>-1.67E-2</v>
      </c>
      <c r="I14" s="299">
        <f t="shared" si="5"/>
        <v>4.1999999999999997E-3</v>
      </c>
    </row>
    <row r="15" spans="1:11">
      <c r="A15" s="162">
        <v>13000</v>
      </c>
      <c r="B15" s="256">
        <v>-0.2</v>
      </c>
      <c r="C15" s="147">
        <f t="shared" si="2"/>
        <v>-400</v>
      </c>
      <c r="D15" s="164">
        <f t="shared" ref="D15:D74" si="8">ROUND(IF(A15&lt;11000,0,IF(A15&lt;18000,(A15-11000)*-0.25,IF(A15&lt;31000,(A15-18000)*-0.35-1750,IF(A15&lt;60000,(A15-31000)*-0.42-6300,IF(A15&lt;90000,(A15-60000)*-0.48-18480,IF(A15&lt;1000000,(A15-90000)*-0.5-32880,(A15-1000000)*-0.55-487880)))))),2)</f>
        <v>-500</v>
      </c>
      <c r="E15" s="165">
        <f t="shared" si="7"/>
        <v>100</v>
      </c>
      <c r="F15" s="164">
        <f t="shared" si="3"/>
        <v>-730</v>
      </c>
      <c r="G15" s="166">
        <f t="shared" si="6"/>
        <v>-500</v>
      </c>
      <c r="H15" s="299">
        <f t="shared" si="4"/>
        <v>-3.0800000000000001E-2</v>
      </c>
      <c r="I15" s="299">
        <f t="shared" si="5"/>
        <v>7.7000000000000002E-3</v>
      </c>
    </row>
    <row r="16" spans="1:11">
      <c r="A16" s="162">
        <v>14000</v>
      </c>
      <c r="B16" s="256">
        <v>-0.2</v>
      </c>
      <c r="C16" s="147">
        <f t="shared" si="2"/>
        <v>-600</v>
      </c>
      <c r="D16" s="164">
        <f t="shared" si="8"/>
        <v>-750</v>
      </c>
      <c r="E16" s="165">
        <f t="shared" si="7"/>
        <v>150</v>
      </c>
      <c r="F16" s="164">
        <f t="shared" si="3"/>
        <v>-1095</v>
      </c>
      <c r="G16" s="166">
        <f t="shared" si="6"/>
        <v>-750</v>
      </c>
      <c r="H16" s="299">
        <f t="shared" si="4"/>
        <v>-4.2900000000000001E-2</v>
      </c>
      <c r="I16" s="299">
        <f t="shared" si="5"/>
        <v>1.0699999999999999E-2</v>
      </c>
    </row>
    <row r="17" spans="1:9">
      <c r="A17" s="162">
        <v>15000</v>
      </c>
      <c r="B17" s="256">
        <v>-0.2</v>
      </c>
      <c r="C17" s="147">
        <f t="shared" si="2"/>
        <v>-800</v>
      </c>
      <c r="D17" s="164">
        <f t="shared" si="8"/>
        <v>-1000</v>
      </c>
      <c r="E17" s="165">
        <f t="shared" si="7"/>
        <v>200</v>
      </c>
      <c r="F17" s="164">
        <f t="shared" si="3"/>
        <v>-1460</v>
      </c>
      <c r="G17" s="166">
        <f t="shared" si="6"/>
        <v>-1000</v>
      </c>
      <c r="H17" s="299">
        <f t="shared" si="4"/>
        <v>-5.33E-2</v>
      </c>
      <c r="I17" s="299">
        <f t="shared" si="5"/>
        <v>1.3299999999999999E-2</v>
      </c>
    </row>
    <row r="18" spans="1:9">
      <c r="A18" s="162">
        <v>16000</v>
      </c>
      <c r="B18" s="256">
        <v>-0.2</v>
      </c>
      <c r="C18" s="147">
        <f t="shared" si="2"/>
        <v>-1000</v>
      </c>
      <c r="D18" s="164">
        <f t="shared" si="8"/>
        <v>-1250</v>
      </c>
      <c r="E18" s="165">
        <f t="shared" si="7"/>
        <v>250</v>
      </c>
      <c r="F18" s="164">
        <f t="shared" si="3"/>
        <v>-1825</v>
      </c>
      <c r="G18" s="166"/>
      <c r="H18" s="299">
        <f t="shared" si="4"/>
        <v>-6.25E-2</v>
      </c>
      <c r="I18" s="299">
        <f t="shared" si="5"/>
        <v>1.5599999999999999E-2</v>
      </c>
    </row>
    <row r="19" spans="1:9">
      <c r="A19" s="162">
        <v>17000</v>
      </c>
      <c r="B19" s="256">
        <v>-0.2</v>
      </c>
      <c r="C19" s="147">
        <f t="shared" si="2"/>
        <v>-1200</v>
      </c>
      <c r="D19" s="164">
        <f t="shared" si="8"/>
        <v>-1500</v>
      </c>
      <c r="E19" s="165">
        <f t="shared" si="7"/>
        <v>300</v>
      </c>
      <c r="F19" s="164">
        <f t="shared" si="3"/>
        <v>-2190</v>
      </c>
      <c r="G19" s="166"/>
      <c r="H19" s="299">
        <f t="shared" si="4"/>
        <v>-7.0599999999999996E-2</v>
      </c>
      <c r="I19" s="299">
        <f t="shared" si="5"/>
        <v>1.7600000000000001E-2</v>
      </c>
    </row>
    <row r="20" spans="1:9">
      <c r="A20" s="162">
        <v>18000</v>
      </c>
      <c r="B20" s="256">
        <v>-0.2</v>
      </c>
      <c r="C20" s="147">
        <f t="shared" si="2"/>
        <v>-1400</v>
      </c>
      <c r="D20" s="164">
        <f t="shared" si="8"/>
        <v>-1750</v>
      </c>
      <c r="E20" s="165">
        <f t="shared" si="7"/>
        <v>350</v>
      </c>
      <c r="F20" s="164">
        <f t="shared" si="3"/>
        <v>-2555</v>
      </c>
      <c r="G20" s="166"/>
      <c r="H20" s="299">
        <f t="shared" si="4"/>
        <v>-7.7799999999999994E-2</v>
      </c>
      <c r="I20" s="299">
        <f t="shared" si="5"/>
        <v>1.9400000000000001E-2</v>
      </c>
    </row>
    <row r="21" spans="1:9">
      <c r="A21" s="162">
        <v>19000</v>
      </c>
      <c r="B21" s="256">
        <v>-0.32500000000000001</v>
      </c>
      <c r="C21" s="147">
        <f t="shared" si="2"/>
        <v>-1725</v>
      </c>
      <c r="D21" s="164">
        <f t="shared" si="8"/>
        <v>-2100</v>
      </c>
      <c r="E21" s="165">
        <f t="shared" si="7"/>
        <v>375</v>
      </c>
      <c r="F21" s="164">
        <f t="shared" si="3"/>
        <v>-2920</v>
      </c>
      <c r="G21" s="166">
        <f t="shared" ref="G21:G74" si="9">ROUND(IF(A21&lt;11000,0,IF(A21&lt;18000,(A21-11000)*-0.25,IF(A21&lt;31000,(A21-18000)*-0.35-1750,IF(A21&lt;60000,(A21-31000)*-0.42-6300,IF(A21&lt;90000,(A21-60000)*-0.48-18480,IF(A21&lt;1000000,(A21-90000)*-0.5-32880,(A21-1000000)*-0.55-487880)))))),2)</f>
        <v>-2100</v>
      </c>
      <c r="H21" s="299">
        <f t="shared" si="4"/>
        <v>-9.0800000000000006E-2</v>
      </c>
      <c r="I21" s="299">
        <f t="shared" si="5"/>
        <v>1.9699999999999999E-2</v>
      </c>
    </row>
    <row r="22" spans="1:9">
      <c r="A22" s="162">
        <v>21000</v>
      </c>
      <c r="B22" s="256">
        <v>-0.32500000000000001</v>
      </c>
      <c r="C22" s="147">
        <f t="shared" si="2"/>
        <v>-2375</v>
      </c>
      <c r="D22" s="164">
        <f t="shared" si="8"/>
        <v>-2800</v>
      </c>
      <c r="E22" s="165">
        <f t="shared" si="7"/>
        <v>425</v>
      </c>
      <c r="F22" s="164">
        <f t="shared" si="3"/>
        <v>-3650</v>
      </c>
      <c r="G22" s="166">
        <f t="shared" si="9"/>
        <v>-2800</v>
      </c>
      <c r="H22" s="299">
        <f t="shared" si="4"/>
        <v>-0.11310000000000001</v>
      </c>
      <c r="I22" s="299">
        <f t="shared" si="5"/>
        <v>2.0199999999999999E-2</v>
      </c>
    </row>
    <row r="23" spans="1:9">
      <c r="A23" s="162">
        <v>23000</v>
      </c>
      <c r="B23" s="256">
        <v>-0.32500000000000001</v>
      </c>
      <c r="C23" s="147">
        <f t="shared" si="2"/>
        <v>-3025</v>
      </c>
      <c r="D23" s="164">
        <f t="shared" si="8"/>
        <v>-3500</v>
      </c>
      <c r="E23" s="165">
        <f t="shared" si="7"/>
        <v>475</v>
      </c>
      <c r="F23" s="164">
        <f t="shared" si="3"/>
        <v>-4380</v>
      </c>
      <c r="G23" s="166">
        <f t="shared" si="9"/>
        <v>-3500</v>
      </c>
      <c r="H23" s="299">
        <f t="shared" si="4"/>
        <v>-0.13150000000000001</v>
      </c>
      <c r="I23" s="299">
        <f t="shared" si="5"/>
        <v>2.07E-2</v>
      </c>
    </row>
    <row r="24" spans="1:9">
      <c r="A24" s="162">
        <v>25000</v>
      </c>
      <c r="B24" s="256">
        <v>-0.32500000000000001</v>
      </c>
      <c r="C24" s="147">
        <f t="shared" si="2"/>
        <v>-3675</v>
      </c>
      <c r="D24" s="164">
        <f t="shared" si="8"/>
        <v>-4200</v>
      </c>
      <c r="E24" s="165">
        <f t="shared" si="7"/>
        <v>525</v>
      </c>
      <c r="F24" s="164">
        <f t="shared" si="3"/>
        <v>-5110</v>
      </c>
      <c r="G24" s="166">
        <f t="shared" si="9"/>
        <v>-4200</v>
      </c>
      <c r="H24" s="299">
        <f t="shared" si="4"/>
        <v>-0.14699999999999999</v>
      </c>
      <c r="I24" s="299">
        <f t="shared" si="5"/>
        <v>2.1000000000000001E-2</v>
      </c>
    </row>
    <row r="25" spans="1:9">
      <c r="A25" s="162">
        <v>27000</v>
      </c>
      <c r="B25" s="256">
        <v>-0.32500000000000001</v>
      </c>
      <c r="C25" s="147">
        <f t="shared" si="2"/>
        <v>-4325</v>
      </c>
      <c r="D25" s="164">
        <f t="shared" si="8"/>
        <v>-4900</v>
      </c>
      <c r="E25" s="165">
        <f t="shared" si="7"/>
        <v>575</v>
      </c>
      <c r="F25" s="164">
        <f t="shared" si="3"/>
        <v>-5974.29</v>
      </c>
      <c r="G25" s="166">
        <f t="shared" si="9"/>
        <v>-4900</v>
      </c>
      <c r="H25" s="299">
        <f t="shared" si="4"/>
        <v>-0.16020000000000001</v>
      </c>
      <c r="I25" s="299">
        <f t="shared" si="5"/>
        <v>2.1299999999999999E-2</v>
      </c>
    </row>
    <row r="26" spans="1:9">
      <c r="A26" s="162">
        <v>29000</v>
      </c>
      <c r="B26" s="256">
        <v>-0.32500000000000001</v>
      </c>
      <c r="C26" s="147">
        <f t="shared" si="2"/>
        <v>-4975</v>
      </c>
      <c r="D26" s="164">
        <f t="shared" si="8"/>
        <v>-5600</v>
      </c>
      <c r="E26" s="165">
        <f t="shared" si="7"/>
        <v>625</v>
      </c>
      <c r="F26" s="164">
        <f t="shared" si="3"/>
        <v>-6838.57</v>
      </c>
      <c r="G26" s="166">
        <f t="shared" si="9"/>
        <v>-5600</v>
      </c>
      <c r="H26" s="299">
        <f t="shared" si="4"/>
        <v>-0.1716</v>
      </c>
      <c r="I26" s="299">
        <f t="shared" si="5"/>
        <v>2.1600000000000001E-2</v>
      </c>
    </row>
    <row r="27" spans="1:9">
      <c r="A27" s="162">
        <v>31000</v>
      </c>
      <c r="B27" s="256">
        <v>-0.32500000000000001</v>
      </c>
      <c r="C27" s="147">
        <f t="shared" si="2"/>
        <v>-5625</v>
      </c>
      <c r="D27" s="164">
        <f t="shared" si="8"/>
        <v>-6300</v>
      </c>
      <c r="E27" s="165">
        <f t="shared" si="7"/>
        <v>675</v>
      </c>
      <c r="F27" s="164">
        <f t="shared" si="3"/>
        <v>-7702.86</v>
      </c>
      <c r="G27" s="166">
        <f t="shared" si="9"/>
        <v>-6300</v>
      </c>
      <c r="H27" s="299">
        <f t="shared" si="4"/>
        <v>-0.18149999999999999</v>
      </c>
      <c r="I27" s="299">
        <f t="shared" si="5"/>
        <v>2.18E-2</v>
      </c>
    </row>
    <row r="28" spans="1:9">
      <c r="A28" s="162">
        <v>32000</v>
      </c>
      <c r="B28" s="256">
        <f t="shared" ref="B28:B74" si="10">ROUND(IF(A28&lt;=11000,0,IF(A28&lt;=18000,"-25 %",IF(A28&lt;=31000,"-35 %",IF(A28&lt;=60000,"-42 %",IF(A28&lt;=90000,"-48 %",IF(A28&lt;=1000000,"-50 %","-55 %")))))),2)</f>
        <v>-0.42</v>
      </c>
      <c r="C28" s="147">
        <f t="shared" si="2"/>
        <v>-6045</v>
      </c>
      <c r="D28" s="164">
        <f t="shared" si="8"/>
        <v>-6720</v>
      </c>
      <c r="E28" s="165">
        <f t="shared" si="7"/>
        <v>675</v>
      </c>
      <c r="F28" s="164">
        <f t="shared" si="3"/>
        <v>-8135</v>
      </c>
      <c r="G28" s="166">
        <f t="shared" si="9"/>
        <v>-6720</v>
      </c>
      <c r="H28" s="299">
        <f t="shared" si="4"/>
        <v>-0.18890000000000001</v>
      </c>
      <c r="I28" s="299">
        <f t="shared" si="5"/>
        <v>2.1100000000000001E-2</v>
      </c>
    </row>
    <row r="29" spans="1:9">
      <c r="A29" s="162">
        <v>34000</v>
      </c>
      <c r="B29" s="256">
        <f t="shared" si="10"/>
        <v>-0.42</v>
      </c>
      <c r="C29" s="147">
        <f t="shared" si="2"/>
        <v>-6885</v>
      </c>
      <c r="D29" s="164">
        <f t="shared" si="8"/>
        <v>-7560</v>
      </c>
      <c r="E29" s="165">
        <f t="shared" si="7"/>
        <v>675</v>
      </c>
      <c r="F29" s="164">
        <f t="shared" si="3"/>
        <v>-8999.2900000000009</v>
      </c>
      <c r="G29" s="166">
        <f t="shared" si="9"/>
        <v>-7560</v>
      </c>
      <c r="H29" s="299">
        <f t="shared" si="4"/>
        <v>-0.20250000000000001</v>
      </c>
      <c r="I29" s="299">
        <f t="shared" si="5"/>
        <v>1.9900000000000001E-2</v>
      </c>
    </row>
    <row r="30" spans="1:9">
      <c r="A30" s="162">
        <v>36000</v>
      </c>
      <c r="B30" s="256">
        <f t="shared" si="10"/>
        <v>-0.42</v>
      </c>
      <c r="C30" s="147">
        <f t="shared" si="2"/>
        <v>-7725</v>
      </c>
      <c r="D30" s="164">
        <f t="shared" si="8"/>
        <v>-8400</v>
      </c>
      <c r="E30" s="165">
        <f t="shared" si="7"/>
        <v>675</v>
      </c>
      <c r="F30" s="164">
        <f t="shared" si="3"/>
        <v>-9863.57</v>
      </c>
      <c r="G30" s="166">
        <f t="shared" si="9"/>
        <v>-8400</v>
      </c>
      <c r="H30" s="299">
        <f t="shared" si="4"/>
        <v>-0.21460000000000001</v>
      </c>
      <c r="I30" s="299">
        <f t="shared" si="5"/>
        <v>1.8800000000000001E-2</v>
      </c>
    </row>
    <row r="31" spans="1:9">
      <c r="A31" s="162">
        <v>38000</v>
      </c>
      <c r="B31" s="256">
        <f t="shared" si="10"/>
        <v>-0.42</v>
      </c>
      <c r="C31" s="147">
        <f t="shared" si="2"/>
        <v>-8565</v>
      </c>
      <c r="D31" s="164">
        <f t="shared" si="8"/>
        <v>-9240</v>
      </c>
      <c r="E31" s="165">
        <f t="shared" si="7"/>
        <v>675</v>
      </c>
      <c r="F31" s="164">
        <f t="shared" si="3"/>
        <v>-10727.86</v>
      </c>
      <c r="G31" s="166">
        <f t="shared" si="9"/>
        <v>-9240</v>
      </c>
      <c r="H31" s="299">
        <f t="shared" si="4"/>
        <v>-0.22539999999999999</v>
      </c>
      <c r="I31" s="299">
        <f t="shared" si="5"/>
        <v>1.78E-2</v>
      </c>
    </row>
    <row r="32" spans="1:9" s="167" customFormat="1">
      <c r="A32" s="162">
        <v>40000</v>
      </c>
      <c r="B32" s="256">
        <f t="shared" si="10"/>
        <v>-0.42</v>
      </c>
      <c r="C32" s="147">
        <f t="shared" si="2"/>
        <v>-9405</v>
      </c>
      <c r="D32" s="164">
        <f t="shared" si="8"/>
        <v>-10080</v>
      </c>
      <c r="E32" s="165">
        <f t="shared" si="7"/>
        <v>675</v>
      </c>
      <c r="F32" s="164">
        <f t="shared" si="3"/>
        <v>-11592.14</v>
      </c>
      <c r="G32" s="166">
        <f t="shared" si="9"/>
        <v>-10080</v>
      </c>
      <c r="H32" s="299">
        <f t="shared" si="4"/>
        <v>-0.2351</v>
      </c>
      <c r="I32" s="299">
        <f t="shared" si="5"/>
        <v>1.6899999999999998E-2</v>
      </c>
    </row>
    <row r="33" spans="1:9" s="167" customFormat="1">
      <c r="A33" s="162">
        <v>45000</v>
      </c>
      <c r="B33" s="256">
        <f t="shared" si="10"/>
        <v>-0.42</v>
      </c>
      <c r="C33" s="147">
        <f t="shared" si="2"/>
        <v>-11505</v>
      </c>
      <c r="D33" s="164">
        <f t="shared" si="8"/>
        <v>-12180</v>
      </c>
      <c r="E33" s="165">
        <f t="shared" si="7"/>
        <v>675</v>
      </c>
      <c r="F33" s="164">
        <f t="shared" si="3"/>
        <v>-13752.86</v>
      </c>
      <c r="G33" s="166">
        <f t="shared" si="9"/>
        <v>-12180</v>
      </c>
      <c r="H33" s="299">
        <f t="shared" si="4"/>
        <v>-0.25569999999999998</v>
      </c>
      <c r="I33" s="299">
        <f t="shared" si="5"/>
        <v>1.4999999999999999E-2</v>
      </c>
    </row>
    <row r="34" spans="1:9" s="167" customFormat="1">
      <c r="A34" s="162">
        <v>50000</v>
      </c>
      <c r="B34" s="256">
        <f t="shared" si="10"/>
        <v>-0.42</v>
      </c>
      <c r="C34" s="147">
        <f t="shared" si="2"/>
        <v>-13605</v>
      </c>
      <c r="D34" s="164">
        <f t="shared" si="8"/>
        <v>-14280</v>
      </c>
      <c r="E34" s="165">
        <f t="shared" si="7"/>
        <v>675</v>
      </c>
      <c r="F34" s="164">
        <f t="shared" si="3"/>
        <v>-15913.57</v>
      </c>
      <c r="G34" s="166">
        <f t="shared" si="9"/>
        <v>-14280</v>
      </c>
      <c r="H34" s="299">
        <f t="shared" si="4"/>
        <v>-0.27210000000000001</v>
      </c>
      <c r="I34" s="299">
        <f t="shared" si="5"/>
        <v>1.35E-2</v>
      </c>
    </row>
    <row r="35" spans="1:9" s="167" customFormat="1">
      <c r="A35" s="162">
        <v>55000</v>
      </c>
      <c r="B35" s="256">
        <f t="shared" si="10"/>
        <v>-0.42</v>
      </c>
      <c r="C35" s="147">
        <f t="shared" si="2"/>
        <v>-15705</v>
      </c>
      <c r="D35" s="164">
        <f t="shared" si="8"/>
        <v>-16380</v>
      </c>
      <c r="E35" s="165">
        <f t="shared" si="7"/>
        <v>675</v>
      </c>
      <c r="F35" s="164">
        <f t="shared" si="3"/>
        <v>-18074.29</v>
      </c>
      <c r="G35" s="166">
        <f t="shared" si="9"/>
        <v>-16380</v>
      </c>
      <c r="H35" s="299">
        <f t="shared" si="4"/>
        <v>-0.28549999999999998</v>
      </c>
      <c r="I35" s="299">
        <f t="shared" si="5"/>
        <v>1.23E-2</v>
      </c>
    </row>
    <row r="36" spans="1:9" s="167" customFormat="1">
      <c r="A36" s="162">
        <v>60000</v>
      </c>
      <c r="B36" s="256">
        <f t="shared" si="10"/>
        <v>-0.42</v>
      </c>
      <c r="C36" s="147">
        <f t="shared" si="2"/>
        <v>-17805</v>
      </c>
      <c r="D36" s="164">
        <f t="shared" si="8"/>
        <v>-18480</v>
      </c>
      <c r="E36" s="165">
        <f t="shared" si="7"/>
        <v>675</v>
      </c>
      <c r="F36" s="164">
        <f t="shared" si="3"/>
        <v>-20235</v>
      </c>
      <c r="G36" s="166">
        <f t="shared" si="9"/>
        <v>-18480</v>
      </c>
      <c r="H36" s="299">
        <f t="shared" si="4"/>
        <v>-0.29680000000000001</v>
      </c>
      <c r="I36" s="299">
        <f t="shared" si="5"/>
        <v>1.1299999999999999E-2</v>
      </c>
    </row>
    <row r="37" spans="1:9" s="167" customFormat="1">
      <c r="A37" s="162">
        <v>65000</v>
      </c>
      <c r="B37" s="256">
        <f t="shared" si="10"/>
        <v>-0.48</v>
      </c>
      <c r="C37" s="147">
        <f t="shared" si="2"/>
        <v>-20205</v>
      </c>
      <c r="D37" s="164">
        <f t="shared" si="8"/>
        <v>-20880</v>
      </c>
      <c r="E37" s="165">
        <f t="shared" si="7"/>
        <v>675</v>
      </c>
      <c r="F37" s="164">
        <f t="shared" si="3"/>
        <v>-22735</v>
      </c>
      <c r="G37" s="166">
        <f t="shared" si="9"/>
        <v>-20880</v>
      </c>
      <c r="H37" s="299">
        <f t="shared" si="4"/>
        <v>-0.31080000000000002</v>
      </c>
      <c r="I37" s="299">
        <f t="shared" si="5"/>
        <v>1.04E-2</v>
      </c>
    </row>
    <row r="38" spans="1:9" s="167" customFormat="1">
      <c r="A38" s="162">
        <v>70000</v>
      </c>
      <c r="B38" s="256">
        <f t="shared" si="10"/>
        <v>-0.48</v>
      </c>
      <c r="C38" s="147">
        <f t="shared" si="2"/>
        <v>-22605</v>
      </c>
      <c r="D38" s="164">
        <f t="shared" si="8"/>
        <v>-23280</v>
      </c>
      <c r="E38" s="165">
        <f t="shared" si="7"/>
        <v>675</v>
      </c>
      <c r="F38" s="164">
        <f t="shared" si="3"/>
        <v>-25235</v>
      </c>
      <c r="G38" s="166">
        <f t="shared" si="9"/>
        <v>-23280</v>
      </c>
      <c r="H38" s="299">
        <f t="shared" si="4"/>
        <v>-0.32290000000000002</v>
      </c>
      <c r="I38" s="299">
        <f t="shared" si="5"/>
        <v>9.5999999999999992E-3</v>
      </c>
    </row>
    <row r="39" spans="1:9" s="167" customFormat="1">
      <c r="A39" s="162">
        <v>75000</v>
      </c>
      <c r="B39" s="256">
        <f t="shared" si="10"/>
        <v>-0.48</v>
      </c>
      <c r="C39" s="147">
        <f t="shared" si="2"/>
        <v>-25005</v>
      </c>
      <c r="D39" s="164">
        <f t="shared" si="8"/>
        <v>-25680</v>
      </c>
      <c r="E39" s="165">
        <f t="shared" si="7"/>
        <v>675</v>
      </c>
      <c r="F39" s="164">
        <f t="shared" si="3"/>
        <v>-27735</v>
      </c>
      <c r="G39" s="166">
        <f t="shared" si="9"/>
        <v>-25680</v>
      </c>
      <c r="H39" s="299">
        <f t="shared" si="4"/>
        <v>-0.33339999999999997</v>
      </c>
      <c r="I39" s="299">
        <f t="shared" si="5"/>
        <v>8.9999999999999993E-3</v>
      </c>
    </row>
    <row r="40" spans="1:9" s="167" customFormat="1">
      <c r="A40" s="162">
        <v>80000</v>
      </c>
      <c r="B40" s="256">
        <f t="shared" si="10"/>
        <v>-0.48</v>
      </c>
      <c r="C40" s="147">
        <f t="shared" si="2"/>
        <v>-27405</v>
      </c>
      <c r="D40" s="164">
        <f t="shared" si="8"/>
        <v>-28080</v>
      </c>
      <c r="E40" s="165">
        <f t="shared" si="7"/>
        <v>675</v>
      </c>
      <c r="F40" s="164">
        <f t="shared" si="3"/>
        <v>-30235</v>
      </c>
      <c r="G40" s="166">
        <f t="shared" si="9"/>
        <v>-28080</v>
      </c>
      <c r="H40" s="299">
        <f t="shared" si="4"/>
        <v>-0.34260000000000002</v>
      </c>
      <c r="I40" s="299">
        <f t="shared" si="5"/>
        <v>8.3999999999999995E-3</v>
      </c>
    </row>
    <row r="41" spans="1:9" s="167" customFormat="1">
      <c r="A41" s="162">
        <v>85000</v>
      </c>
      <c r="B41" s="256">
        <f t="shared" si="10"/>
        <v>-0.48</v>
      </c>
      <c r="C41" s="147">
        <f t="shared" si="2"/>
        <v>-29805</v>
      </c>
      <c r="D41" s="164">
        <f t="shared" si="8"/>
        <v>-30480</v>
      </c>
      <c r="E41" s="165">
        <f t="shared" si="7"/>
        <v>675</v>
      </c>
      <c r="F41" s="164">
        <f t="shared" si="3"/>
        <v>-32735</v>
      </c>
      <c r="G41" s="166">
        <f t="shared" si="9"/>
        <v>-30480</v>
      </c>
      <c r="H41" s="299">
        <f t="shared" si="4"/>
        <v>-0.35060000000000002</v>
      </c>
      <c r="I41" s="299">
        <f t="shared" si="5"/>
        <v>7.9000000000000008E-3</v>
      </c>
    </row>
    <row r="42" spans="1:9" s="167" customFormat="1">
      <c r="A42" s="162">
        <v>90000</v>
      </c>
      <c r="B42" s="256">
        <f t="shared" si="10"/>
        <v>-0.48</v>
      </c>
      <c r="C42" s="147">
        <f t="shared" si="2"/>
        <v>-32205</v>
      </c>
      <c r="D42" s="164">
        <f t="shared" si="8"/>
        <v>-32880</v>
      </c>
      <c r="E42" s="165">
        <f t="shared" si="7"/>
        <v>675</v>
      </c>
      <c r="F42" s="164">
        <f t="shared" si="3"/>
        <v>-35235</v>
      </c>
      <c r="G42" s="166">
        <f t="shared" si="9"/>
        <v>-32880</v>
      </c>
      <c r="H42" s="299">
        <f t="shared" si="4"/>
        <v>-0.35780000000000001</v>
      </c>
      <c r="I42" s="299">
        <f t="shared" si="5"/>
        <v>7.4999999999999997E-3</v>
      </c>
    </row>
    <row r="43" spans="1:9">
      <c r="A43" s="162">
        <v>95000</v>
      </c>
      <c r="B43" s="256">
        <f t="shared" si="10"/>
        <v>-0.5</v>
      </c>
      <c r="C43" s="147">
        <f t="shared" si="2"/>
        <v>-34705</v>
      </c>
      <c r="D43" s="164">
        <f t="shared" si="8"/>
        <v>-35380</v>
      </c>
      <c r="E43" s="165">
        <f t="shared" si="7"/>
        <v>675</v>
      </c>
      <c r="F43" s="164">
        <f t="shared" si="3"/>
        <v>-37735</v>
      </c>
      <c r="G43" s="166">
        <f t="shared" si="9"/>
        <v>-35380</v>
      </c>
      <c r="H43" s="299">
        <f t="shared" si="4"/>
        <v>-0.36530000000000001</v>
      </c>
      <c r="I43" s="299">
        <f t="shared" si="5"/>
        <v>7.1000000000000004E-3</v>
      </c>
    </row>
    <row r="44" spans="1:9">
      <c r="A44" s="162">
        <v>100000</v>
      </c>
      <c r="B44" s="256">
        <f t="shared" si="10"/>
        <v>-0.5</v>
      </c>
      <c r="C44" s="147">
        <f t="shared" si="2"/>
        <v>-37205</v>
      </c>
      <c r="D44" s="164">
        <f t="shared" si="8"/>
        <v>-37880</v>
      </c>
      <c r="E44" s="165">
        <f t="shared" si="7"/>
        <v>675</v>
      </c>
      <c r="F44" s="164">
        <f t="shared" si="3"/>
        <v>-40235</v>
      </c>
      <c r="G44" s="166">
        <f t="shared" si="9"/>
        <v>-37880</v>
      </c>
      <c r="H44" s="299">
        <f t="shared" si="4"/>
        <v>-0.37209999999999999</v>
      </c>
      <c r="I44" s="299">
        <f t="shared" si="5"/>
        <v>6.7999999999999996E-3</v>
      </c>
    </row>
    <row r="45" spans="1:9">
      <c r="A45" s="162">
        <v>200000</v>
      </c>
      <c r="B45" s="256">
        <f t="shared" si="10"/>
        <v>-0.5</v>
      </c>
      <c r="C45" s="147">
        <f t="shared" si="2"/>
        <v>-87205</v>
      </c>
      <c r="D45" s="164">
        <f t="shared" si="8"/>
        <v>-87880</v>
      </c>
      <c r="E45" s="165">
        <f t="shared" si="7"/>
        <v>675</v>
      </c>
      <c r="F45" s="164">
        <f t="shared" si="3"/>
        <v>-90235</v>
      </c>
      <c r="G45" s="166">
        <f t="shared" si="9"/>
        <v>-87880</v>
      </c>
      <c r="H45" s="299">
        <f t="shared" si="4"/>
        <v>-0.436</v>
      </c>
      <c r="I45" s="299">
        <f t="shared" si="5"/>
        <v>3.3999999999999998E-3</v>
      </c>
    </row>
    <row r="46" spans="1:9">
      <c r="A46" s="162">
        <v>300000</v>
      </c>
      <c r="B46" s="256">
        <f t="shared" si="10"/>
        <v>-0.5</v>
      </c>
      <c r="C46" s="147">
        <f t="shared" si="2"/>
        <v>-137205</v>
      </c>
      <c r="D46" s="164">
        <f t="shared" si="8"/>
        <v>-137880</v>
      </c>
      <c r="E46" s="165">
        <f t="shared" si="7"/>
        <v>675</v>
      </c>
      <c r="F46" s="164">
        <f t="shared" si="3"/>
        <v>-140235</v>
      </c>
      <c r="G46" s="166">
        <f t="shared" si="9"/>
        <v>-137880</v>
      </c>
      <c r="H46" s="299">
        <f t="shared" si="4"/>
        <v>-0.45739999999999997</v>
      </c>
      <c r="I46" s="299">
        <f t="shared" si="5"/>
        <v>2.3E-3</v>
      </c>
    </row>
    <row r="47" spans="1:9">
      <c r="A47" s="162">
        <v>400000</v>
      </c>
      <c r="B47" s="256">
        <f t="shared" si="10"/>
        <v>-0.5</v>
      </c>
      <c r="C47" s="147">
        <f t="shared" si="2"/>
        <v>-187205</v>
      </c>
      <c r="D47" s="164">
        <f t="shared" si="8"/>
        <v>-187880</v>
      </c>
      <c r="E47" s="165">
        <f t="shared" si="7"/>
        <v>675</v>
      </c>
      <c r="F47" s="164">
        <f t="shared" si="3"/>
        <v>-190235</v>
      </c>
      <c r="G47" s="166">
        <f t="shared" si="9"/>
        <v>-187880</v>
      </c>
      <c r="H47" s="299">
        <f t="shared" si="4"/>
        <v>-0.46800000000000003</v>
      </c>
      <c r="I47" s="299">
        <f t="shared" si="5"/>
        <v>1.6999999999999999E-3</v>
      </c>
    </row>
    <row r="48" spans="1:9">
      <c r="A48" s="162">
        <v>500000</v>
      </c>
      <c r="B48" s="256">
        <f t="shared" si="10"/>
        <v>-0.5</v>
      </c>
      <c r="C48" s="147">
        <f t="shared" si="2"/>
        <v>-237205</v>
      </c>
      <c r="D48" s="164">
        <f t="shared" si="8"/>
        <v>-237880</v>
      </c>
      <c r="E48" s="165">
        <f t="shared" si="7"/>
        <v>675</v>
      </c>
      <c r="F48" s="164">
        <f t="shared" si="3"/>
        <v>-240235</v>
      </c>
      <c r="G48" s="166">
        <f t="shared" si="9"/>
        <v>-237880</v>
      </c>
      <c r="H48" s="299">
        <f t="shared" si="4"/>
        <v>-0.47439999999999999</v>
      </c>
      <c r="I48" s="299">
        <f t="shared" si="5"/>
        <v>1.4E-3</v>
      </c>
    </row>
    <row r="49" spans="1:9">
      <c r="A49" s="162">
        <v>600000</v>
      </c>
      <c r="B49" s="256">
        <f t="shared" si="10"/>
        <v>-0.5</v>
      </c>
      <c r="C49" s="147">
        <f t="shared" si="2"/>
        <v>-287205</v>
      </c>
      <c r="D49" s="164">
        <f t="shared" si="8"/>
        <v>-287880</v>
      </c>
      <c r="E49" s="165">
        <f t="shared" si="7"/>
        <v>675</v>
      </c>
      <c r="F49" s="164">
        <f t="shared" si="3"/>
        <v>-290235</v>
      </c>
      <c r="G49" s="166">
        <f t="shared" si="9"/>
        <v>-287880</v>
      </c>
      <c r="H49" s="299">
        <f t="shared" si="4"/>
        <v>-0.47870000000000001</v>
      </c>
      <c r="I49" s="299">
        <f t="shared" si="5"/>
        <v>1.1000000000000001E-3</v>
      </c>
    </row>
    <row r="50" spans="1:9">
      <c r="A50" s="162">
        <v>700000</v>
      </c>
      <c r="B50" s="256">
        <f t="shared" si="10"/>
        <v>-0.5</v>
      </c>
      <c r="C50" s="147">
        <f t="shared" si="2"/>
        <v>-337205</v>
      </c>
      <c r="D50" s="164">
        <f t="shared" si="8"/>
        <v>-337880</v>
      </c>
      <c r="E50" s="165">
        <f t="shared" si="7"/>
        <v>675</v>
      </c>
      <c r="F50" s="164">
        <f t="shared" si="3"/>
        <v>-340235</v>
      </c>
      <c r="G50" s="166">
        <f t="shared" si="9"/>
        <v>-337880</v>
      </c>
      <c r="H50" s="299">
        <f t="shared" si="4"/>
        <v>-0.48170000000000002</v>
      </c>
      <c r="I50" s="299">
        <f t="shared" si="5"/>
        <v>1E-3</v>
      </c>
    </row>
    <row r="51" spans="1:9">
      <c r="A51" s="162">
        <v>800000</v>
      </c>
      <c r="B51" s="256">
        <f t="shared" si="10"/>
        <v>-0.5</v>
      </c>
      <c r="C51" s="147">
        <f t="shared" si="2"/>
        <v>-387205</v>
      </c>
      <c r="D51" s="164">
        <f t="shared" si="8"/>
        <v>-387880</v>
      </c>
      <c r="E51" s="165">
        <f t="shared" si="7"/>
        <v>675</v>
      </c>
      <c r="F51" s="164">
        <f t="shared" si="3"/>
        <v>-390235</v>
      </c>
      <c r="G51" s="166">
        <f t="shared" si="9"/>
        <v>-387880</v>
      </c>
      <c r="H51" s="299">
        <f t="shared" si="4"/>
        <v>-0.48399999999999999</v>
      </c>
      <c r="I51" s="299">
        <f t="shared" si="5"/>
        <v>8.0000000000000004E-4</v>
      </c>
    </row>
    <row r="52" spans="1:9">
      <c r="A52" s="162">
        <v>900000</v>
      </c>
      <c r="B52" s="256">
        <f t="shared" si="10"/>
        <v>-0.5</v>
      </c>
      <c r="C52" s="147">
        <f t="shared" si="2"/>
        <v>-437205</v>
      </c>
      <c r="D52" s="164">
        <f t="shared" si="8"/>
        <v>-437880</v>
      </c>
      <c r="E52" s="165">
        <f t="shared" si="7"/>
        <v>675</v>
      </c>
      <c r="F52" s="164">
        <f t="shared" si="3"/>
        <v>-440235</v>
      </c>
      <c r="G52" s="166">
        <f t="shared" si="9"/>
        <v>-437880</v>
      </c>
      <c r="H52" s="299">
        <f t="shared" si="4"/>
        <v>-0.48580000000000001</v>
      </c>
      <c r="I52" s="299">
        <f t="shared" si="5"/>
        <v>8.0000000000000004E-4</v>
      </c>
    </row>
    <row r="53" spans="1:9">
      <c r="A53" s="162">
        <v>1000000</v>
      </c>
      <c r="B53" s="256">
        <f t="shared" si="10"/>
        <v>-0.5</v>
      </c>
      <c r="C53" s="147">
        <f t="shared" si="2"/>
        <v>-487205</v>
      </c>
      <c r="D53" s="164">
        <f t="shared" si="8"/>
        <v>-487880</v>
      </c>
      <c r="E53" s="165">
        <f t="shared" si="7"/>
        <v>675</v>
      </c>
      <c r="F53" s="164">
        <f t="shared" si="3"/>
        <v>-490235</v>
      </c>
      <c r="G53" s="166">
        <f t="shared" si="9"/>
        <v>-487880</v>
      </c>
      <c r="H53" s="299">
        <f t="shared" si="4"/>
        <v>-0.48720000000000002</v>
      </c>
      <c r="I53" s="299">
        <f t="shared" si="5"/>
        <v>6.9999999999999999E-4</v>
      </c>
    </row>
    <row r="54" spans="1:9">
      <c r="A54" s="162">
        <v>1010000</v>
      </c>
      <c r="B54" s="256">
        <f t="shared" si="10"/>
        <v>-0.55000000000000004</v>
      </c>
      <c r="C54" s="147">
        <f t="shared" si="2"/>
        <v>-492705</v>
      </c>
      <c r="D54" s="164">
        <f t="shared" si="8"/>
        <v>-493380</v>
      </c>
      <c r="E54" s="165">
        <f t="shared" si="7"/>
        <v>675</v>
      </c>
      <c r="F54" s="164">
        <f t="shared" si="3"/>
        <v>-495235</v>
      </c>
      <c r="G54" s="166">
        <f t="shared" si="9"/>
        <v>-493380</v>
      </c>
      <c r="H54" s="299">
        <f t="shared" si="4"/>
        <v>-0.48780000000000001</v>
      </c>
      <c r="I54" s="299">
        <f t="shared" si="5"/>
        <v>6.9999999999999999E-4</v>
      </c>
    </row>
    <row r="55" spans="1:9">
      <c r="A55" s="162">
        <v>1020000</v>
      </c>
      <c r="B55" s="256">
        <f t="shared" si="10"/>
        <v>-0.55000000000000004</v>
      </c>
      <c r="C55" s="147">
        <f t="shared" si="2"/>
        <v>-498205</v>
      </c>
      <c r="D55" s="164">
        <f t="shared" si="8"/>
        <v>-498880</v>
      </c>
      <c r="E55" s="165">
        <f t="shared" si="7"/>
        <v>675</v>
      </c>
      <c r="F55" s="164">
        <f t="shared" si="3"/>
        <v>-500235</v>
      </c>
      <c r="G55" s="166">
        <f t="shared" si="9"/>
        <v>-498880</v>
      </c>
      <c r="H55" s="299">
        <f t="shared" si="4"/>
        <v>-0.4884</v>
      </c>
      <c r="I55" s="299">
        <f t="shared" si="5"/>
        <v>6.9999999999999999E-4</v>
      </c>
    </row>
    <row r="56" spans="1:9">
      <c r="A56" s="162">
        <v>1030000</v>
      </c>
      <c r="B56" s="256">
        <f t="shared" si="10"/>
        <v>-0.55000000000000004</v>
      </c>
      <c r="C56" s="147">
        <f t="shared" si="2"/>
        <v>-503705</v>
      </c>
      <c r="D56" s="164">
        <f t="shared" si="8"/>
        <v>-504380</v>
      </c>
      <c r="E56" s="165">
        <f t="shared" si="7"/>
        <v>675</v>
      </c>
      <c r="F56" s="164">
        <f t="shared" si="3"/>
        <v>-505235</v>
      </c>
      <c r="G56" s="166">
        <f t="shared" si="9"/>
        <v>-504380</v>
      </c>
      <c r="H56" s="299">
        <f t="shared" si="4"/>
        <v>-0.48899999999999999</v>
      </c>
      <c r="I56" s="299">
        <f t="shared" si="5"/>
        <v>6.9999999999999999E-4</v>
      </c>
    </row>
    <row r="57" spans="1:9">
      <c r="A57" s="162">
        <v>1040000</v>
      </c>
      <c r="B57" s="256">
        <f t="shared" si="10"/>
        <v>-0.55000000000000004</v>
      </c>
      <c r="C57" s="147">
        <f t="shared" si="2"/>
        <v>-509205</v>
      </c>
      <c r="D57" s="164">
        <f t="shared" si="8"/>
        <v>-509880</v>
      </c>
      <c r="E57" s="165">
        <f t="shared" si="7"/>
        <v>675</v>
      </c>
      <c r="F57" s="164">
        <f t="shared" si="3"/>
        <v>-510235</v>
      </c>
      <c r="G57" s="166">
        <f t="shared" si="9"/>
        <v>-509880</v>
      </c>
      <c r="H57" s="299">
        <f t="shared" si="4"/>
        <v>-0.48959999999999998</v>
      </c>
      <c r="I57" s="299">
        <f t="shared" si="5"/>
        <v>5.9999999999999995E-4</v>
      </c>
    </row>
    <row r="58" spans="1:9">
      <c r="A58" s="162">
        <v>1047100</v>
      </c>
      <c r="B58" s="256">
        <f t="shared" si="10"/>
        <v>-0.55000000000000004</v>
      </c>
      <c r="C58" s="147">
        <f t="shared" si="2"/>
        <v>-513110</v>
      </c>
      <c r="D58" s="164">
        <f t="shared" si="8"/>
        <v>-513785</v>
      </c>
      <c r="E58" s="165">
        <f t="shared" si="7"/>
        <v>675</v>
      </c>
      <c r="F58" s="164">
        <f t="shared" si="3"/>
        <v>-513785</v>
      </c>
      <c r="G58" s="166">
        <f t="shared" si="9"/>
        <v>-513785</v>
      </c>
      <c r="H58" s="299">
        <f t="shared" si="4"/>
        <v>-0.49</v>
      </c>
      <c r="I58" s="299">
        <f t="shared" si="5"/>
        <v>5.9999999999999995E-4</v>
      </c>
    </row>
    <row r="59" spans="1:9">
      <c r="A59" s="162">
        <v>1050000</v>
      </c>
      <c r="B59" s="256">
        <f t="shared" si="10"/>
        <v>-0.55000000000000004</v>
      </c>
      <c r="C59" s="147">
        <f t="shared" si="2"/>
        <v>-514705</v>
      </c>
      <c r="D59" s="164">
        <f t="shared" si="8"/>
        <v>-515380</v>
      </c>
      <c r="E59" s="165">
        <f t="shared" si="7"/>
        <v>675</v>
      </c>
      <c r="F59" s="164">
        <f t="shared" si="3"/>
        <v>-515235</v>
      </c>
      <c r="G59" s="166">
        <f t="shared" si="9"/>
        <v>-515380</v>
      </c>
      <c r="H59" s="299">
        <f t="shared" si="4"/>
        <v>-0.49020000000000002</v>
      </c>
      <c r="I59" s="299">
        <f t="shared" si="5"/>
        <v>5.9999999999999995E-4</v>
      </c>
    </row>
    <row r="60" spans="1:9">
      <c r="A60" s="162">
        <v>1060000</v>
      </c>
      <c r="B60" s="256">
        <f t="shared" si="10"/>
        <v>-0.55000000000000004</v>
      </c>
      <c r="C60" s="147">
        <f t="shared" si="2"/>
        <v>-520205</v>
      </c>
      <c r="D60" s="164">
        <f t="shared" si="8"/>
        <v>-520880</v>
      </c>
      <c r="E60" s="165">
        <f t="shared" si="7"/>
        <v>675</v>
      </c>
      <c r="F60" s="164">
        <f t="shared" si="3"/>
        <v>-520235</v>
      </c>
      <c r="G60" s="166">
        <f t="shared" si="9"/>
        <v>-520880</v>
      </c>
      <c r="H60" s="299">
        <f t="shared" si="4"/>
        <v>-0.49080000000000001</v>
      </c>
      <c r="I60" s="299">
        <f t="shared" si="5"/>
        <v>5.9999999999999995E-4</v>
      </c>
    </row>
    <row r="61" spans="1:9">
      <c r="A61" s="162">
        <v>1070000</v>
      </c>
      <c r="B61" s="256">
        <f t="shared" si="10"/>
        <v>-0.55000000000000004</v>
      </c>
      <c r="C61" s="147">
        <f t="shared" si="2"/>
        <v>-525705</v>
      </c>
      <c r="D61" s="164">
        <f t="shared" si="8"/>
        <v>-526380</v>
      </c>
      <c r="E61" s="165">
        <f t="shared" si="7"/>
        <v>675</v>
      </c>
      <c r="F61" s="164">
        <f t="shared" si="3"/>
        <v>-525235</v>
      </c>
      <c r="G61" s="166">
        <f t="shared" si="9"/>
        <v>-526380</v>
      </c>
      <c r="H61" s="299">
        <f t="shared" si="4"/>
        <v>-0.49130000000000001</v>
      </c>
      <c r="I61" s="299">
        <f t="shared" si="5"/>
        <v>5.9999999999999995E-4</v>
      </c>
    </row>
    <row r="62" spans="1:9">
      <c r="A62" s="162">
        <v>1080000</v>
      </c>
      <c r="B62" s="256">
        <f t="shared" si="10"/>
        <v>-0.55000000000000004</v>
      </c>
      <c r="C62" s="147">
        <f t="shared" si="2"/>
        <v>-531205</v>
      </c>
      <c r="D62" s="164">
        <f t="shared" si="8"/>
        <v>-531880</v>
      </c>
      <c r="E62" s="165">
        <f t="shared" si="7"/>
        <v>675</v>
      </c>
      <c r="F62" s="164">
        <f t="shared" si="3"/>
        <v>-530235</v>
      </c>
      <c r="G62" s="166">
        <f t="shared" si="9"/>
        <v>-531880</v>
      </c>
      <c r="H62" s="299">
        <f t="shared" si="4"/>
        <v>-0.4919</v>
      </c>
      <c r="I62" s="299">
        <f t="shared" si="5"/>
        <v>5.9999999999999995E-4</v>
      </c>
    </row>
    <row r="63" spans="1:9">
      <c r="A63" s="162">
        <v>1090000</v>
      </c>
      <c r="B63" s="256">
        <f t="shared" si="10"/>
        <v>-0.55000000000000004</v>
      </c>
      <c r="C63" s="147">
        <f t="shared" si="2"/>
        <v>-536705</v>
      </c>
      <c r="D63" s="164">
        <f t="shared" si="8"/>
        <v>-537380</v>
      </c>
      <c r="E63" s="165">
        <f t="shared" si="7"/>
        <v>675</v>
      </c>
      <c r="F63" s="164">
        <f t="shared" si="3"/>
        <v>-535235</v>
      </c>
      <c r="G63" s="166">
        <f t="shared" si="9"/>
        <v>-537380</v>
      </c>
      <c r="H63" s="299">
        <f t="shared" si="4"/>
        <v>-0.4924</v>
      </c>
      <c r="I63" s="299">
        <f t="shared" si="5"/>
        <v>5.9999999999999995E-4</v>
      </c>
    </row>
    <row r="64" spans="1:9">
      <c r="A64" s="162">
        <v>1100000</v>
      </c>
      <c r="B64" s="256">
        <f t="shared" si="10"/>
        <v>-0.55000000000000004</v>
      </c>
      <c r="C64" s="147">
        <f t="shared" si="2"/>
        <v>-542205</v>
      </c>
      <c r="D64" s="164">
        <f t="shared" si="8"/>
        <v>-542880</v>
      </c>
      <c r="E64" s="165">
        <f t="shared" si="7"/>
        <v>675</v>
      </c>
      <c r="F64" s="164">
        <f t="shared" si="3"/>
        <v>-540235</v>
      </c>
      <c r="G64" s="166">
        <f t="shared" si="9"/>
        <v>-542880</v>
      </c>
      <c r="H64" s="299">
        <f t="shared" si="4"/>
        <v>-0.4929</v>
      </c>
      <c r="I64" s="299">
        <f t="shared" si="5"/>
        <v>5.9999999999999995E-4</v>
      </c>
    </row>
    <row r="65" spans="1:9">
      <c r="A65" s="162">
        <v>1150000</v>
      </c>
      <c r="B65" s="256">
        <f t="shared" si="10"/>
        <v>-0.55000000000000004</v>
      </c>
      <c r="C65" s="147">
        <f t="shared" si="2"/>
        <v>-569705</v>
      </c>
      <c r="D65" s="164">
        <f t="shared" si="8"/>
        <v>-570380</v>
      </c>
      <c r="E65" s="165">
        <f t="shared" si="7"/>
        <v>675</v>
      </c>
      <c r="F65" s="164">
        <f t="shared" si="3"/>
        <v>-565235</v>
      </c>
      <c r="G65" s="166">
        <f t="shared" si="9"/>
        <v>-570380</v>
      </c>
      <c r="H65" s="299">
        <f t="shared" si="4"/>
        <v>-0.49540000000000001</v>
      </c>
      <c r="I65" s="299">
        <f t="shared" si="5"/>
        <v>5.9999999999999995E-4</v>
      </c>
    </row>
    <row r="66" spans="1:9">
      <c r="A66" s="162">
        <v>1200000</v>
      </c>
      <c r="B66" s="256">
        <f t="shared" si="10"/>
        <v>-0.55000000000000004</v>
      </c>
      <c r="C66" s="147">
        <f t="shared" si="2"/>
        <v>-597205</v>
      </c>
      <c r="D66" s="164">
        <f t="shared" si="8"/>
        <v>-597880</v>
      </c>
      <c r="E66" s="165">
        <f t="shared" si="7"/>
        <v>675</v>
      </c>
      <c r="F66" s="164">
        <f t="shared" si="3"/>
        <v>-590235</v>
      </c>
      <c r="G66" s="166">
        <f t="shared" si="9"/>
        <v>-597880</v>
      </c>
      <c r="H66" s="299">
        <f t="shared" si="4"/>
        <v>-0.49769999999999998</v>
      </c>
      <c r="I66" s="299">
        <f t="shared" si="5"/>
        <v>5.9999999999999995E-4</v>
      </c>
    </row>
    <row r="67" spans="1:9">
      <c r="A67" s="162">
        <v>1300000</v>
      </c>
      <c r="B67" s="256">
        <f t="shared" si="10"/>
        <v>-0.55000000000000004</v>
      </c>
      <c r="C67" s="147">
        <f t="shared" si="2"/>
        <v>-652205</v>
      </c>
      <c r="D67" s="164">
        <f t="shared" si="8"/>
        <v>-652880</v>
      </c>
      <c r="E67" s="165">
        <f t="shared" si="7"/>
        <v>675</v>
      </c>
      <c r="F67" s="164">
        <f t="shared" si="3"/>
        <v>-640235</v>
      </c>
      <c r="G67" s="166">
        <f t="shared" si="9"/>
        <v>-652880</v>
      </c>
      <c r="H67" s="299">
        <f t="shared" si="4"/>
        <v>-0.50170000000000003</v>
      </c>
      <c r="I67" s="299">
        <f t="shared" si="5"/>
        <v>5.0000000000000001E-4</v>
      </c>
    </row>
    <row r="68" spans="1:9">
      <c r="A68" s="162">
        <v>1400000</v>
      </c>
      <c r="B68" s="256">
        <f t="shared" si="10"/>
        <v>-0.55000000000000004</v>
      </c>
      <c r="C68" s="147">
        <f t="shared" si="2"/>
        <v>-707205</v>
      </c>
      <c r="D68" s="164">
        <f t="shared" si="8"/>
        <v>-707880</v>
      </c>
      <c r="E68" s="165">
        <f t="shared" si="7"/>
        <v>675</v>
      </c>
      <c r="F68" s="164">
        <f t="shared" si="3"/>
        <v>-690235</v>
      </c>
      <c r="G68" s="166">
        <f t="shared" si="9"/>
        <v>-707880</v>
      </c>
      <c r="H68" s="299">
        <f t="shared" si="4"/>
        <v>-0.50509999999999999</v>
      </c>
      <c r="I68" s="299">
        <f t="shared" si="5"/>
        <v>5.0000000000000001E-4</v>
      </c>
    </row>
    <row r="69" spans="1:9">
      <c r="A69" s="162">
        <v>1500000</v>
      </c>
      <c r="B69" s="256">
        <f t="shared" si="10"/>
        <v>-0.55000000000000004</v>
      </c>
      <c r="C69" s="147">
        <f t="shared" si="2"/>
        <v>-762205</v>
      </c>
      <c r="D69" s="164">
        <f t="shared" si="8"/>
        <v>-762880</v>
      </c>
      <c r="E69" s="165">
        <f t="shared" si="7"/>
        <v>675</v>
      </c>
      <c r="F69" s="164">
        <f t="shared" si="3"/>
        <v>-740235</v>
      </c>
      <c r="G69" s="166">
        <f t="shared" si="9"/>
        <v>-762880</v>
      </c>
      <c r="H69" s="299">
        <f t="shared" si="4"/>
        <v>-0.5081</v>
      </c>
      <c r="I69" s="299">
        <f t="shared" si="5"/>
        <v>5.0000000000000001E-4</v>
      </c>
    </row>
    <row r="70" spans="1:9">
      <c r="A70" s="162">
        <v>1600000</v>
      </c>
      <c r="B70" s="256">
        <f t="shared" si="10"/>
        <v>-0.55000000000000004</v>
      </c>
      <c r="C70" s="147">
        <f t="shared" si="2"/>
        <v>-817205</v>
      </c>
      <c r="D70" s="164">
        <f t="shared" si="8"/>
        <v>-817880</v>
      </c>
      <c r="E70" s="165">
        <f t="shared" si="7"/>
        <v>675</v>
      </c>
      <c r="F70" s="164">
        <f t="shared" si="3"/>
        <v>-790235</v>
      </c>
      <c r="G70" s="166">
        <f t="shared" si="9"/>
        <v>-817880</v>
      </c>
      <c r="H70" s="299">
        <f t="shared" si="4"/>
        <v>-0.51080000000000003</v>
      </c>
      <c r="I70" s="299">
        <f t="shared" si="5"/>
        <v>4.0000000000000002E-4</v>
      </c>
    </row>
    <row r="71" spans="1:9">
      <c r="A71" s="162">
        <v>1700000</v>
      </c>
      <c r="B71" s="256">
        <f t="shared" si="10"/>
        <v>-0.55000000000000004</v>
      </c>
      <c r="C71" s="147">
        <f t="shared" si="2"/>
        <v>-872205</v>
      </c>
      <c r="D71" s="164">
        <f t="shared" si="8"/>
        <v>-872880</v>
      </c>
      <c r="E71" s="165">
        <f t="shared" si="7"/>
        <v>675</v>
      </c>
      <c r="F71" s="164">
        <f t="shared" si="3"/>
        <v>-840235</v>
      </c>
      <c r="G71" s="166">
        <f t="shared" si="9"/>
        <v>-872880</v>
      </c>
      <c r="H71" s="299">
        <f t="shared" si="4"/>
        <v>-0.5131</v>
      </c>
      <c r="I71" s="299">
        <f t="shared" si="5"/>
        <v>4.0000000000000002E-4</v>
      </c>
    </row>
    <row r="72" spans="1:9">
      <c r="A72" s="162">
        <v>1800000</v>
      </c>
      <c r="B72" s="256">
        <f t="shared" si="10"/>
        <v>-0.55000000000000004</v>
      </c>
      <c r="C72" s="147">
        <f t="shared" si="2"/>
        <v>-927205</v>
      </c>
      <c r="D72" s="164">
        <f t="shared" si="8"/>
        <v>-927880</v>
      </c>
      <c r="E72" s="165">
        <f t="shared" si="7"/>
        <v>675</v>
      </c>
      <c r="F72" s="164">
        <f t="shared" si="3"/>
        <v>-890235</v>
      </c>
      <c r="G72" s="166">
        <f t="shared" si="9"/>
        <v>-927880</v>
      </c>
      <c r="H72" s="299">
        <f t="shared" si="4"/>
        <v>-0.5151</v>
      </c>
      <c r="I72" s="299">
        <f t="shared" si="5"/>
        <v>4.0000000000000002E-4</v>
      </c>
    </row>
    <row r="73" spans="1:9">
      <c r="A73" s="162">
        <v>1900000</v>
      </c>
      <c r="B73" s="256">
        <f t="shared" si="10"/>
        <v>-0.55000000000000004</v>
      </c>
      <c r="C73" s="147">
        <f t="shared" si="2"/>
        <v>-982205</v>
      </c>
      <c r="D73" s="164">
        <f t="shared" si="8"/>
        <v>-982880</v>
      </c>
      <c r="E73" s="165">
        <f t="shared" si="7"/>
        <v>675</v>
      </c>
      <c r="F73" s="164">
        <f t="shared" si="3"/>
        <v>-940235</v>
      </c>
      <c r="G73" s="166">
        <f t="shared" si="9"/>
        <v>-982880</v>
      </c>
      <c r="H73" s="299">
        <f t="shared" si="4"/>
        <v>-0.51700000000000002</v>
      </c>
      <c r="I73" s="299">
        <f t="shared" si="5"/>
        <v>4.0000000000000002E-4</v>
      </c>
    </row>
    <row r="74" spans="1:9">
      <c r="A74" s="162">
        <v>2000000</v>
      </c>
      <c r="B74" s="256">
        <f t="shared" si="10"/>
        <v>-0.55000000000000004</v>
      </c>
      <c r="C74" s="147">
        <f t="shared" si="2"/>
        <v>-1037205</v>
      </c>
      <c r="D74" s="164">
        <f t="shared" si="8"/>
        <v>-1037880</v>
      </c>
      <c r="E74" s="165">
        <f t="shared" si="7"/>
        <v>675</v>
      </c>
      <c r="F74" s="164">
        <f t="shared" si="3"/>
        <v>-990235</v>
      </c>
      <c r="G74" s="166">
        <f t="shared" si="9"/>
        <v>-1037880</v>
      </c>
      <c r="H74" s="299">
        <f t="shared" si="4"/>
        <v>-0.51859999999999995</v>
      </c>
      <c r="I74" s="299">
        <f t="shared" si="5"/>
        <v>2.9999999999999997E-4</v>
      </c>
    </row>
  </sheetData>
  <sheetProtection password="C83B" sheet="1" objects="1" scenarios="1"/>
  <mergeCells count="1">
    <mergeCell ref="A1:E1"/>
  </mergeCells>
  <conditionalFormatting sqref="H2">
    <cfRule type="expression" dxfId="200" priority="2" stopIfTrue="1">
      <formula>AND(#REF!&gt;2)</formula>
    </cfRule>
  </conditionalFormatting>
  <conditionalFormatting sqref="I13:I7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H1" r:id="rId1"/>
  </hyperlinks>
  <printOptions horizontalCentered="1" gridLines="1"/>
  <pageMargins left="0.35433070866141736" right="0.19685039370078741" top="0.54" bottom="0.55000000000000004" header="0.27" footer="0.26"/>
  <pageSetup paperSize="9" scale="90" orientation="portrait" r:id="rId2"/>
  <headerFooter alignWithMargins="0">
    <oddHeader>&amp;L&amp;8&amp;F&amp;C&amp;8&amp;A&amp;R&amp;8&amp;D</oddHeader>
    <oddFooter>&amp;L&amp;8copyright © www.rvo.at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120"/>
  <sheetViews>
    <sheetView zoomScaleNormal="100" workbookViewId="0">
      <pane ySplit="1" topLeftCell="A2" activePane="bottomLeft" state="frozen"/>
      <selection pane="bottomLeft" activeCell="B3" sqref="B3"/>
    </sheetView>
  </sheetViews>
  <sheetFormatPr baseColWidth="10" defaultColWidth="11.44140625" defaultRowHeight="11.4" outlineLevelRow="1"/>
  <cols>
    <col min="1" max="1" width="30.88671875" style="4" customWidth="1"/>
    <col min="2" max="2" width="12.88671875" style="5" customWidth="1"/>
    <col min="3" max="3" width="14" style="3" customWidth="1"/>
    <col min="4" max="4" width="10.109375" style="7" customWidth="1"/>
    <col min="5" max="5" width="12.6640625" style="3" customWidth="1"/>
    <col min="6" max="16384" width="11.44140625" style="3"/>
  </cols>
  <sheetData>
    <row r="1" spans="1:8" ht="15" customHeight="1">
      <c r="A1" s="321" t="s">
        <v>44</v>
      </c>
      <c r="B1" s="321"/>
      <c r="C1" s="321"/>
      <c r="D1" s="321"/>
      <c r="E1" s="321" t="s">
        <v>40</v>
      </c>
      <c r="F1" s="321"/>
    </row>
    <row r="2" spans="1:8">
      <c r="A2" s="1" t="s">
        <v>29</v>
      </c>
      <c r="B2" s="59" t="s">
        <v>0</v>
      </c>
      <c r="C2" s="2" t="s">
        <v>1</v>
      </c>
      <c r="D2" s="66" t="s">
        <v>4</v>
      </c>
      <c r="E2" s="62" t="s">
        <v>2</v>
      </c>
      <c r="F2" s="62"/>
    </row>
    <row r="3" spans="1:8" outlineLevel="1">
      <c r="A3" s="4" t="s">
        <v>31</v>
      </c>
      <c r="B3" s="41">
        <v>3000</v>
      </c>
      <c r="C3" s="5">
        <f t="shared" ref="C3:C10" si="0">ROUND(B3*12,2)</f>
        <v>36000</v>
      </c>
      <c r="D3" s="68">
        <f t="shared" ref="D3:D10" si="1">IF(ISBLANK(B3),"",(ROUND(C3/C$11,3)))</f>
        <v>1</v>
      </c>
      <c r="E3" s="60" t="s">
        <v>86</v>
      </c>
      <c r="F3" s="60"/>
    </row>
    <row r="4" spans="1:8" outlineLevel="1">
      <c r="A4" s="4" t="s">
        <v>30</v>
      </c>
      <c r="B4" s="41"/>
      <c r="C4" s="5">
        <f t="shared" si="0"/>
        <v>0</v>
      </c>
      <c r="D4" s="68" t="str">
        <f t="shared" si="1"/>
        <v/>
      </c>
      <c r="E4" s="60"/>
      <c r="F4" s="60"/>
      <c r="H4" s="14"/>
    </row>
    <row r="5" spans="1:8" outlineLevel="1">
      <c r="A5" s="4" t="s">
        <v>32</v>
      </c>
      <c r="B5" s="41"/>
      <c r="C5" s="5">
        <f t="shared" si="0"/>
        <v>0</v>
      </c>
      <c r="D5" s="68" t="str">
        <f t="shared" si="1"/>
        <v/>
      </c>
      <c r="E5" s="60"/>
      <c r="F5" s="60"/>
    </row>
    <row r="6" spans="1:8" outlineLevel="1">
      <c r="A6" s="4" t="s">
        <v>33</v>
      </c>
      <c r="B6" s="41"/>
      <c r="C6" s="5">
        <f t="shared" si="0"/>
        <v>0</v>
      </c>
      <c r="D6" s="68" t="str">
        <f t="shared" si="1"/>
        <v/>
      </c>
      <c r="E6" s="60"/>
      <c r="F6" s="60"/>
    </row>
    <row r="7" spans="1:8" outlineLevel="1">
      <c r="A7" s="4" t="s">
        <v>34</v>
      </c>
      <c r="B7" s="41"/>
      <c r="C7" s="5">
        <f t="shared" si="0"/>
        <v>0</v>
      </c>
      <c r="D7" s="68" t="str">
        <f t="shared" si="1"/>
        <v/>
      </c>
      <c r="E7" s="60"/>
      <c r="F7" s="60"/>
    </row>
    <row r="8" spans="1:8" outlineLevel="1">
      <c r="A8" s="4" t="s">
        <v>35</v>
      </c>
      <c r="B8" s="41"/>
      <c r="C8" s="5">
        <f t="shared" si="0"/>
        <v>0</v>
      </c>
      <c r="D8" s="68" t="str">
        <f t="shared" si="1"/>
        <v/>
      </c>
      <c r="E8" s="60"/>
      <c r="F8" s="60"/>
    </row>
    <row r="9" spans="1:8" outlineLevel="1">
      <c r="A9" s="4" t="s">
        <v>36</v>
      </c>
      <c r="B9" s="41"/>
      <c r="C9" s="5">
        <f t="shared" si="0"/>
        <v>0</v>
      </c>
      <c r="D9" s="68" t="str">
        <f t="shared" si="1"/>
        <v/>
      </c>
      <c r="E9" s="60"/>
      <c r="F9" s="60"/>
    </row>
    <row r="10" spans="1:8" outlineLevel="1">
      <c r="A10" s="4" t="s">
        <v>37</v>
      </c>
      <c r="B10" s="41"/>
      <c r="C10" s="5">
        <f t="shared" si="0"/>
        <v>0</v>
      </c>
      <c r="D10" s="68" t="str">
        <f t="shared" si="1"/>
        <v/>
      </c>
      <c r="E10" s="60"/>
      <c r="F10" s="60"/>
    </row>
    <row r="11" spans="1:8" ht="12" thickBot="1">
      <c r="A11" s="8" t="s">
        <v>38</v>
      </c>
      <c r="B11" s="9">
        <f>ROUND(SUM(B3:B10),2)</f>
        <v>3000</v>
      </c>
      <c r="C11" s="9">
        <f>ROUND(SUM(C3:C10),2)</f>
        <v>36000</v>
      </c>
      <c r="D11" s="67">
        <v>1</v>
      </c>
      <c r="E11" s="37"/>
      <c r="F11" s="37"/>
    </row>
    <row r="12" spans="1:8" ht="14.4" customHeight="1" thickTop="1">
      <c r="A12" s="10"/>
      <c r="B12" s="11"/>
      <c r="C12" s="13"/>
      <c r="D12" s="12"/>
      <c r="F12" s="13"/>
    </row>
    <row r="13" spans="1:8">
      <c r="A13" s="1" t="s">
        <v>22</v>
      </c>
      <c r="B13" s="59" t="s">
        <v>0</v>
      </c>
      <c r="C13" s="2" t="s">
        <v>1</v>
      </c>
      <c r="D13" s="66" t="s">
        <v>4</v>
      </c>
      <c r="E13" s="62" t="s">
        <v>2</v>
      </c>
      <c r="F13" s="62"/>
    </row>
    <row r="14" spans="1:8">
      <c r="A14" s="63" t="s">
        <v>24</v>
      </c>
      <c r="B14" s="42"/>
      <c r="C14" s="15">
        <f t="shared" ref="C14:C33" si="2">ROUND(B14*12,2)</f>
        <v>0</v>
      </c>
      <c r="D14" s="68" t="str">
        <f t="shared" ref="D14:D33" si="3">IF(ISBLANK(B14),"",(ROUND(C14/C$11,3)))</f>
        <v/>
      </c>
      <c r="E14" s="60"/>
      <c r="F14" s="61"/>
    </row>
    <row r="15" spans="1:8">
      <c r="A15" s="64" t="s">
        <v>23</v>
      </c>
      <c r="B15" s="42"/>
      <c r="C15" s="15">
        <f t="shared" si="2"/>
        <v>0</v>
      </c>
      <c r="D15" s="68" t="str">
        <f t="shared" si="3"/>
        <v/>
      </c>
      <c r="E15" s="60"/>
      <c r="F15" s="61"/>
    </row>
    <row r="16" spans="1:8">
      <c r="A16" s="64" t="s">
        <v>10</v>
      </c>
      <c r="B16" s="42"/>
      <c r="C16" s="15">
        <f t="shared" si="2"/>
        <v>0</v>
      </c>
      <c r="D16" s="68" t="str">
        <f t="shared" si="3"/>
        <v/>
      </c>
      <c r="E16" s="60"/>
      <c r="F16" s="61"/>
    </row>
    <row r="17" spans="1:7">
      <c r="A17" s="63" t="s">
        <v>11</v>
      </c>
      <c r="B17" s="42"/>
      <c r="C17" s="15">
        <f t="shared" si="2"/>
        <v>0</v>
      </c>
      <c r="D17" s="68" t="str">
        <f t="shared" si="3"/>
        <v/>
      </c>
      <c r="E17" s="60"/>
      <c r="F17" s="61"/>
      <c r="G17" s="3" t="s">
        <v>57</v>
      </c>
    </row>
    <row r="18" spans="1:7">
      <c r="A18" s="63" t="s">
        <v>12</v>
      </c>
      <c r="B18" s="42"/>
      <c r="C18" s="15">
        <f t="shared" si="2"/>
        <v>0</v>
      </c>
      <c r="D18" s="68" t="str">
        <f t="shared" si="3"/>
        <v/>
      </c>
      <c r="E18" s="60"/>
      <c r="F18" s="61"/>
    </row>
    <row r="19" spans="1:7">
      <c r="A19" s="63" t="s">
        <v>13</v>
      </c>
      <c r="B19" s="42"/>
      <c r="C19" s="15">
        <f t="shared" si="2"/>
        <v>0</v>
      </c>
      <c r="D19" s="68" t="str">
        <f t="shared" si="3"/>
        <v/>
      </c>
      <c r="E19" s="60"/>
      <c r="F19" s="61"/>
    </row>
    <row r="20" spans="1:7">
      <c r="A20" s="63" t="s">
        <v>28</v>
      </c>
      <c r="B20" s="42"/>
      <c r="C20" s="15">
        <f t="shared" si="2"/>
        <v>0</v>
      </c>
      <c r="D20" s="68" t="str">
        <f t="shared" si="3"/>
        <v/>
      </c>
      <c r="E20" s="60"/>
      <c r="F20" s="61"/>
    </row>
    <row r="21" spans="1:7">
      <c r="A21" s="63" t="s">
        <v>14</v>
      </c>
      <c r="B21" s="42"/>
      <c r="C21" s="15">
        <f t="shared" si="2"/>
        <v>0</v>
      </c>
      <c r="D21" s="68" t="str">
        <f t="shared" si="3"/>
        <v/>
      </c>
      <c r="E21" s="60"/>
      <c r="F21" s="61"/>
    </row>
    <row r="22" spans="1:7">
      <c r="A22" s="63" t="s">
        <v>26</v>
      </c>
      <c r="B22" s="42"/>
      <c r="C22" s="15">
        <f t="shared" si="2"/>
        <v>0</v>
      </c>
      <c r="D22" s="68" t="str">
        <f t="shared" si="3"/>
        <v/>
      </c>
      <c r="E22" s="60"/>
      <c r="F22" s="61"/>
    </row>
    <row r="23" spans="1:7">
      <c r="A23" s="63" t="s">
        <v>27</v>
      </c>
      <c r="B23" s="42"/>
      <c r="C23" s="15">
        <f t="shared" si="2"/>
        <v>0</v>
      </c>
      <c r="D23" s="68" t="str">
        <f t="shared" si="3"/>
        <v/>
      </c>
      <c r="E23" s="60"/>
      <c r="F23" s="61"/>
    </row>
    <row r="24" spans="1:7">
      <c r="A24" s="63" t="s">
        <v>25</v>
      </c>
      <c r="B24" s="42"/>
      <c r="C24" s="15">
        <f t="shared" si="2"/>
        <v>0</v>
      </c>
      <c r="D24" s="68" t="str">
        <f t="shared" si="3"/>
        <v/>
      </c>
      <c r="E24" s="60"/>
      <c r="F24" s="61"/>
      <c r="G24" s="3" t="s">
        <v>57</v>
      </c>
    </row>
    <row r="25" spans="1:7">
      <c r="A25" s="63" t="s">
        <v>15</v>
      </c>
      <c r="B25" s="42"/>
      <c r="C25" s="15">
        <f t="shared" si="2"/>
        <v>0</v>
      </c>
      <c r="D25" s="68" t="str">
        <f t="shared" si="3"/>
        <v/>
      </c>
      <c r="E25" s="60"/>
      <c r="F25" s="61"/>
    </row>
    <row r="26" spans="1:7">
      <c r="A26" s="63" t="s">
        <v>16</v>
      </c>
      <c r="B26" s="42"/>
      <c r="C26" s="15">
        <f t="shared" si="2"/>
        <v>0</v>
      </c>
      <c r="D26" s="68" t="str">
        <f t="shared" si="3"/>
        <v/>
      </c>
      <c r="E26" s="60"/>
      <c r="F26" s="61"/>
    </row>
    <row r="27" spans="1:7">
      <c r="A27" s="63" t="s">
        <v>17</v>
      </c>
      <c r="B27" s="42"/>
      <c r="C27" s="15">
        <f t="shared" si="2"/>
        <v>0</v>
      </c>
      <c r="D27" s="68" t="str">
        <f t="shared" si="3"/>
        <v/>
      </c>
      <c r="E27" s="60"/>
      <c r="F27" s="61"/>
    </row>
    <row r="28" spans="1:7">
      <c r="A28" s="63" t="s">
        <v>18</v>
      </c>
      <c r="B28" s="42"/>
      <c r="C28" s="15">
        <f t="shared" si="2"/>
        <v>0</v>
      </c>
      <c r="D28" s="68" t="str">
        <f t="shared" si="3"/>
        <v/>
      </c>
      <c r="E28" s="60"/>
      <c r="F28" s="61"/>
    </row>
    <row r="29" spans="1:7">
      <c r="A29" s="63" t="s">
        <v>19</v>
      </c>
      <c r="B29" s="42"/>
      <c r="C29" s="15">
        <f t="shared" si="2"/>
        <v>0</v>
      </c>
      <c r="D29" s="68" t="str">
        <f t="shared" si="3"/>
        <v/>
      </c>
      <c r="E29" s="60"/>
      <c r="F29" s="61"/>
    </row>
    <row r="30" spans="1:7">
      <c r="A30" s="63" t="s">
        <v>41</v>
      </c>
      <c r="B30" s="42"/>
      <c r="C30" s="15">
        <f t="shared" si="2"/>
        <v>0</v>
      </c>
      <c r="D30" s="68" t="str">
        <f t="shared" si="3"/>
        <v/>
      </c>
      <c r="E30" s="60"/>
      <c r="F30" s="61"/>
    </row>
    <row r="31" spans="1:7">
      <c r="A31" s="63" t="s">
        <v>133</v>
      </c>
      <c r="B31" s="42">
        <v>-680</v>
      </c>
      <c r="C31" s="15">
        <f t="shared" si="2"/>
        <v>-8160</v>
      </c>
      <c r="D31" s="68">
        <f t="shared" si="3"/>
        <v>-0.22700000000000001</v>
      </c>
      <c r="E31" s="60" t="s">
        <v>86</v>
      </c>
      <c r="F31" s="61"/>
    </row>
    <row r="32" spans="1:7">
      <c r="A32" s="63" t="s">
        <v>20</v>
      </c>
      <c r="B32" s="42"/>
      <c r="C32" s="15">
        <f t="shared" si="2"/>
        <v>0</v>
      </c>
      <c r="D32" s="68" t="str">
        <f t="shared" si="3"/>
        <v/>
      </c>
      <c r="E32" s="60"/>
      <c r="F32" s="61"/>
    </row>
    <row r="33" spans="1:9">
      <c r="A33" s="63" t="s">
        <v>21</v>
      </c>
      <c r="B33" s="42"/>
      <c r="C33" s="15">
        <f t="shared" si="2"/>
        <v>0</v>
      </c>
      <c r="D33" s="68" t="str">
        <f t="shared" si="3"/>
        <v/>
      </c>
      <c r="E33" s="60"/>
      <c r="F33" s="61"/>
    </row>
    <row r="34" spans="1:9" ht="12" thickBot="1">
      <c r="A34" s="65" t="s">
        <v>39</v>
      </c>
      <c r="B34" s="40">
        <f>ROUND(SUM(B14:B33),2)</f>
        <v>-680</v>
      </c>
      <c r="C34" s="40">
        <f>ROUND(SUM(C14:C33),2)</f>
        <v>-8160</v>
      </c>
      <c r="D34" s="67">
        <f>ROUND(SUM(D14:D33),3)</f>
        <v>-0.22700000000000001</v>
      </c>
      <c r="E34" s="37"/>
      <c r="F34" s="36"/>
    </row>
    <row r="35" spans="1:9" ht="14.4" customHeight="1" thickTop="1">
      <c r="A35" s="10"/>
      <c r="B35" s="11"/>
      <c r="C35" s="13"/>
      <c r="D35" s="12"/>
      <c r="F35" s="13"/>
    </row>
    <row r="36" spans="1:9">
      <c r="A36" s="1" t="s">
        <v>3</v>
      </c>
      <c r="B36" s="2" t="s">
        <v>0</v>
      </c>
      <c r="C36" s="2" t="s">
        <v>1</v>
      </c>
      <c r="D36" s="34" t="s">
        <v>4</v>
      </c>
      <c r="E36" s="35"/>
      <c r="F36" s="104" t="s">
        <v>58</v>
      </c>
    </row>
    <row r="37" spans="1:9" ht="12.75" customHeight="1">
      <c r="A37" s="3" t="str">
        <f>IF(B37&lt;0,"Verlust","Gewinn (Überschuss)")</f>
        <v>Gewinn (Überschuss)</v>
      </c>
      <c r="B37" s="17">
        <f>ROUND(SUM(B11,B34),2)</f>
        <v>2320</v>
      </c>
      <c r="C37" s="18">
        <f>ROUND(B37*12,2)</f>
        <v>27840</v>
      </c>
      <c r="D37" s="49">
        <v>1</v>
      </c>
      <c r="E37" s="124" t="str">
        <f>CONCATENATE(" .. (",ROUND(C37/C11*100,1),"% v. Umsatz)")</f>
        <v xml:space="preserve"> .. (77,3% v. Umsatz)</v>
      </c>
      <c r="F37" s="6"/>
    </row>
    <row r="38" spans="1:9">
      <c r="A38" s="16" t="s">
        <v>95</v>
      </c>
      <c r="B38" s="17">
        <f>ROUND(C38/12,2)</f>
        <v>-301.60000000000002</v>
      </c>
      <c r="C38" s="126">
        <f>ROUNDDOWN((MIN(MAX(-3900,C37*-0.13),0)),2)</f>
        <v>-3619.2</v>
      </c>
      <c r="D38" s="49">
        <f>ROUND(C38/C37,3)</f>
        <v>-0.13</v>
      </c>
      <c r="E38" s="6"/>
      <c r="F38" s="6"/>
    </row>
    <row r="39" spans="1:9">
      <c r="A39" s="16" t="s">
        <v>96</v>
      </c>
      <c r="B39" s="17">
        <f>ROUND(C39/12,2)</f>
        <v>0</v>
      </c>
      <c r="C39" s="45"/>
      <c r="D39" s="49">
        <f>ROUND(C39/C37,3)</f>
        <v>0</v>
      </c>
      <c r="E39" s="130" t="str">
        <f>CONCATENATE("  max .. ",ROUND(IF(C37&lt;30000,0,IF(C37&lt;175000,C37*-0.13+3900,IF(C37&lt;350000,(C37-175000)*-0.07-18850,IF(C37&lt;580000,(C37-350000)*-0.045-31100,-41450)))),2))</f>
        <v xml:space="preserve">  max .. 0</v>
      </c>
      <c r="F39" s="30"/>
    </row>
    <row r="40" spans="1:9">
      <c r="A40" s="16" t="s">
        <v>132</v>
      </c>
      <c r="B40" s="17">
        <f>B31*-1</f>
        <v>680</v>
      </c>
      <c r="C40" s="18">
        <f>ROUND(B40*12,2)</f>
        <v>8160</v>
      </c>
      <c r="D40" s="49">
        <f>ROUND(C40/C37,3)</f>
        <v>0.29299999999999998</v>
      </c>
      <c r="E40" s="6"/>
      <c r="F40" s="6"/>
    </row>
    <row r="41" spans="1:9" outlineLevel="1">
      <c r="A41" s="32" t="s">
        <v>42</v>
      </c>
      <c r="B41" s="47">
        <f>SUM(B37:B40)</f>
        <v>2698.4</v>
      </c>
      <c r="C41" s="47">
        <f>SUM(C37:C40)</f>
        <v>32380.799999999999</v>
      </c>
      <c r="D41" s="48">
        <f>ROUND(C41/C37,3)</f>
        <v>1.163</v>
      </c>
      <c r="E41" s="31"/>
      <c r="F41" s="33"/>
    </row>
    <row r="42" spans="1:9" outlineLevel="1">
      <c r="A42" s="117" t="s">
        <v>77</v>
      </c>
      <c r="B42" s="43">
        <v>-10.42</v>
      </c>
      <c r="C42" s="52">
        <f>ROUND(B42*12,2)</f>
        <v>-125.04</v>
      </c>
      <c r="D42" s="322" t="s">
        <v>43</v>
      </c>
      <c r="E42" s="322"/>
      <c r="F42" s="322"/>
      <c r="G42" s="116" t="s">
        <v>74</v>
      </c>
    </row>
    <row r="43" spans="1:9" outlineLevel="1">
      <c r="A43" s="118" t="s">
        <v>78</v>
      </c>
      <c r="B43" s="52">
        <f>IF(B$41&lt;E43,E43*D43,IF(B$41&gt;F43,F43*D43,B$41*D43))</f>
        <v>-499.20400000000001</v>
      </c>
      <c r="C43" s="52">
        <f>B43*12</f>
        <v>-5990.4480000000003</v>
      </c>
      <c r="D43" s="69">
        <v>-0.185</v>
      </c>
      <c r="E43" s="44">
        <v>574.36</v>
      </c>
      <c r="F43" s="119">
        <v>6475</v>
      </c>
      <c r="G43" s="301" t="s">
        <v>128</v>
      </c>
    </row>
    <row r="44" spans="1:9" ht="13.2" outlineLevel="1">
      <c r="A44" s="117" t="s">
        <v>79</v>
      </c>
      <c r="B44" s="52">
        <f>IF(B$41&lt;E44,E44*D44,IF(B$41&gt;F44,F44*D44,B$41*D44))</f>
        <v>-183.49120000000002</v>
      </c>
      <c r="C44" s="52">
        <f>B44*12</f>
        <v>-2201.8944000000001</v>
      </c>
      <c r="D44" s="69">
        <v>-6.8000000000000005E-2</v>
      </c>
      <c r="E44" s="44">
        <v>475.86</v>
      </c>
      <c r="F44" s="119">
        <v>6475</v>
      </c>
      <c r="G44" s="115"/>
    </row>
    <row r="45" spans="1:9" ht="13.2" outlineLevel="1">
      <c r="A45" s="117" t="s">
        <v>97</v>
      </c>
      <c r="B45" s="52">
        <f>IF(B$41&lt;E45,E45*D45,IF(B$41&gt;F45,F45*D45,B$41*D45))</f>
        <v>-49.533749999999998</v>
      </c>
      <c r="C45" s="52">
        <f>B45*12</f>
        <v>-594.40499999999997</v>
      </c>
      <c r="D45" s="69">
        <v>-1.5299999999999999E-2</v>
      </c>
      <c r="E45" s="44">
        <v>3237.5</v>
      </c>
      <c r="F45" s="119">
        <v>3237.5</v>
      </c>
      <c r="G45" s="115"/>
    </row>
    <row r="46" spans="1:9" outlineLevel="1">
      <c r="A46" s="118" t="s">
        <v>98</v>
      </c>
      <c r="B46" s="52">
        <f>IF(B$41&lt;E46,E46*D46,IF(B$41&gt;F46,F46*D46,B$41*D46))</f>
        <v>-194.25</v>
      </c>
      <c r="C46" s="52">
        <f>B46*12</f>
        <v>-2331</v>
      </c>
      <c r="D46" s="69">
        <v>-0.06</v>
      </c>
      <c r="E46" s="44">
        <v>3237.5</v>
      </c>
      <c r="F46" s="119">
        <v>3237.5</v>
      </c>
    </row>
    <row r="47" spans="1:9">
      <c r="A47" s="32" t="s">
        <v>7</v>
      </c>
      <c r="B47" s="47">
        <f>ROUND(SUM(B42:B46),2)</f>
        <v>-936.9</v>
      </c>
      <c r="C47" s="47">
        <f>ROUND(SUM(C42:C46),2)</f>
        <v>-11242.79</v>
      </c>
      <c r="D47" s="48">
        <f>ROUND(C47/C37,3)</f>
        <v>-0.40400000000000003</v>
      </c>
      <c r="E47" s="33"/>
      <c r="F47" s="33"/>
    </row>
    <row r="48" spans="1:9" ht="13.5" customHeight="1">
      <c r="A48" s="70" t="s">
        <v>45</v>
      </c>
      <c r="B48" s="50">
        <f>SUM(B41,B47)</f>
        <v>1761.5</v>
      </c>
      <c r="C48" s="50">
        <f>SUM(C37:C40,C47)</f>
        <v>21138.01</v>
      </c>
      <c r="D48" s="51">
        <f>ROUND(C48/C37,3)</f>
        <v>0.75900000000000001</v>
      </c>
      <c r="E48" s="71" t="s">
        <v>46</v>
      </c>
      <c r="F48" s="71" t="s">
        <v>47</v>
      </c>
      <c r="G48" s="72" t="str">
        <f>IF(B69&gt;2,"MKZ","")</f>
        <v/>
      </c>
      <c r="H48" s="176" t="str">
        <f>IF(G48="MKZ","Info zum Mehrkindzuschlag (MKZ) seit 2011","")</f>
        <v/>
      </c>
      <c r="I48" s="15"/>
    </row>
    <row r="49" spans="1:9" ht="13.5" customHeight="1">
      <c r="A49" s="308" t="s">
        <v>160</v>
      </c>
      <c r="B49" s="73"/>
      <c r="C49" s="74">
        <v>0</v>
      </c>
      <c r="D49" s="3"/>
      <c r="E49" s="75"/>
      <c r="F49" s="76">
        <v>0</v>
      </c>
      <c r="G49" s="77"/>
      <c r="H49" s="302" t="s">
        <v>146</v>
      </c>
      <c r="I49" s="15"/>
    </row>
    <row r="50" spans="1:9">
      <c r="A50" s="19" t="s">
        <v>49</v>
      </c>
      <c r="B50" s="19"/>
      <c r="C50" s="45"/>
      <c r="D50" s="16"/>
      <c r="E50" s="120"/>
      <c r="F50" s="21"/>
      <c r="G50" s="100" t="str">
        <f>IF(G49="inkl. MKZ für",IF(ISBLANK(G51),ROUND((B69-2)*12,0),""),"")</f>
        <v/>
      </c>
      <c r="H50" s="15"/>
      <c r="I50" s="15"/>
    </row>
    <row r="51" spans="1:9" hidden="1" outlineLevel="1">
      <c r="A51" s="19" t="s">
        <v>124</v>
      </c>
      <c r="B51" s="19"/>
      <c r="C51" s="74"/>
      <c r="D51" s="16"/>
      <c r="E51" s="120"/>
      <c r="F51" s="21"/>
      <c r="G51" s="102"/>
      <c r="H51" s="15"/>
      <c r="I51" s="15"/>
    </row>
    <row r="52" spans="1:9" collapsed="1">
      <c r="A52" s="79" t="s">
        <v>50</v>
      </c>
      <c r="B52" s="79"/>
      <c r="C52" s="80">
        <f>ROUND(IF(SUM(C48:C51)&lt;0,0,SUM(C48:C51)),2)</f>
        <v>21138.01</v>
      </c>
      <c r="D52" s="81"/>
      <c r="E52" s="82"/>
      <c r="F52" s="83">
        <f>ROUND(IF(C52&gt;36400,0.12,IF(C52&gt;14600,0.1,IF(C52&gt;7300,0.08,0.06)))-SUM(B68/100,B69/100),3)</f>
        <v>0.1</v>
      </c>
      <c r="G52" s="103"/>
      <c r="H52" s="15"/>
      <c r="I52" s="15"/>
    </row>
    <row r="53" spans="1:9" ht="13.5" customHeight="1">
      <c r="A53" s="84" t="str">
        <f>CONCATENATE("außergew. Belastungen ",F52*-100,"% Selbstbehalt")</f>
        <v>außergew. Belastungen -10% Selbstbehalt</v>
      </c>
      <c r="B53" s="84"/>
      <c r="C53" s="74">
        <f>ROUND(IF(E53&lt;F53,0,(E53-F53)*-1),2)</f>
        <v>0</v>
      </c>
      <c r="D53" s="3"/>
      <c r="E53" s="75"/>
      <c r="F53" s="76">
        <f>ROUND(C52*F52,2)</f>
        <v>2113.8000000000002</v>
      </c>
      <c r="G53" s="103"/>
      <c r="H53" s="173"/>
      <c r="I53" s="15"/>
    </row>
    <row r="54" spans="1:9" ht="13.5" customHeight="1">
      <c r="A54" s="22" t="s">
        <v>51</v>
      </c>
      <c r="B54" s="22"/>
      <c r="C54" s="46"/>
      <c r="D54" s="22"/>
      <c r="E54" s="121"/>
      <c r="F54" s="24"/>
      <c r="G54" s="103"/>
      <c r="H54" s="15"/>
      <c r="I54" s="15"/>
    </row>
    <row r="55" spans="1:9" s="20" customFormat="1" ht="12">
      <c r="A55" s="70" t="s">
        <v>141</v>
      </c>
      <c r="B55" s="86">
        <v>1</v>
      </c>
      <c r="C55" s="80">
        <f>ROUND(IF(SUM(C52:C54)&lt;0,0,SUM(C52:C54)),2)</f>
        <v>21138.01</v>
      </c>
      <c r="E55" s="87">
        <f>F55/C55</f>
        <v>-0.11818993367871433</v>
      </c>
      <c r="F55" s="23">
        <f>ROUND(SUM(D57:D63),2)</f>
        <v>-2498.3000000000002</v>
      </c>
      <c r="G55" s="103"/>
      <c r="H55" s="23"/>
    </row>
    <row r="56" spans="1:9" s="20" customFormat="1" ht="3" customHeight="1">
      <c r="A56" s="70"/>
      <c r="B56" s="86"/>
      <c r="C56" s="74"/>
      <c r="E56" s="87"/>
      <c r="F56" s="23"/>
      <c r="G56" s="103"/>
      <c r="H56" s="23"/>
    </row>
    <row r="57" spans="1:9" s="20" customFormat="1">
      <c r="A57" s="131">
        <v>11000</v>
      </c>
      <c r="B57" s="132">
        <v>0</v>
      </c>
      <c r="C57" s="134">
        <f>IF($C$55&gt;A57,A57,$C$55)</f>
        <v>11000</v>
      </c>
      <c r="D57" s="135">
        <f t="shared" ref="D57:D63" si="4">ROUND(B57*C57,4)</f>
        <v>0</v>
      </c>
      <c r="F57" s="23"/>
      <c r="G57" s="170"/>
      <c r="H57" s="23" t="s">
        <v>140</v>
      </c>
    </row>
    <row r="58" spans="1:9" s="20" customFormat="1">
      <c r="A58" s="131">
        <v>18000</v>
      </c>
      <c r="B58" s="132">
        <v>-0.2</v>
      </c>
      <c r="C58" s="134">
        <f>IF($C$55&gt;A58,A58-A57,$C$55-C57)</f>
        <v>7000</v>
      </c>
      <c r="D58" s="135">
        <f t="shared" si="4"/>
        <v>-1400</v>
      </c>
      <c r="F58" s="23"/>
      <c r="G58" s="170">
        <f>IF(C58&gt;0,B58,"")</f>
        <v>-0.2</v>
      </c>
      <c r="H58" s="23"/>
    </row>
    <row r="59" spans="1:9" s="20" customFormat="1">
      <c r="A59" s="131">
        <v>31000</v>
      </c>
      <c r="B59" s="132">
        <v>-0.35</v>
      </c>
      <c r="C59" s="134">
        <f>IF($C$55&gt;A59,A59-A58,$C$55-SUM($C$57:C58))</f>
        <v>3138.0099999999984</v>
      </c>
      <c r="D59" s="135">
        <f t="shared" si="4"/>
        <v>-1098.3035</v>
      </c>
      <c r="F59" s="23"/>
      <c r="G59" s="170">
        <f>IF(C59&gt;0,B59-B58,"")</f>
        <v>-0.14999999999999997</v>
      </c>
      <c r="H59" s="23"/>
    </row>
    <row r="60" spans="1:9" s="20" customFormat="1">
      <c r="A60" s="131">
        <v>60000</v>
      </c>
      <c r="B60" s="132">
        <v>-0.42</v>
      </c>
      <c r="C60" s="134">
        <f>IF($C$55&gt;A60,A60-A59,$C$55-SUM($C$57:C59))</f>
        <v>0</v>
      </c>
      <c r="D60" s="135">
        <f t="shared" si="4"/>
        <v>0</v>
      </c>
      <c r="F60" s="23"/>
      <c r="G60" s="170" t="str">
        <f t="shared" ref="G60:G63" si="5">IF(C60&gt;0,B60-B59,"")</f>
        <v/>
      </c>
      <c r="H60" s="23"/>
    </row>
    <row r="61" spans="1:9" s="20" customFormat="1">
      <c r="A61" s="131">
        <v>90000</v>
      </c>
      <c r="B61" s="132">
        <v>-0.48</v>
      </c>
      <c r="C61" s="134">
        <f>IF($C$55&gt;A61,A61-A60,$C$55-SUM($C$57:C60))</f>
        <v>0</v>
      </c>
      <c r="D61" s="135">
        <f t="shared" si="4"/>
        <v>0</v>
      </c>
      <c r="F61" s="23"/>
      <c r="G61" s="170" t="str">
        <f t="shared" si="5"/>
        <v/>
      </c>
      <c r="H61" s="23"/>
    </row>
    <row r="62" spans="1:9" s="20" customFormat="1">
      <c r="A62" s="131">
        <v>1000000</v>
      </c>
      <c r="B62" s="132">
        <v>-0.5</v>
      </c>
      <c r="C62" s="134">
        <f>IF($C$55&gt;A62,A62-A61,$C$55-SUM($C$57:C61))</f>
        <v>0</v>
      </c>
      <c r="D62" s="135">
        <f t="shared" si="4"/>
        <v>0</v>
      </c>
      <c r="F62" s="23"/>
      <c r="G62" s="170" t="str">
        <f t="shared" si="5"/>
        <v/>
      </c>
      <c r="H62" s="23"/>
    </row>
    <row r="63" spans="1:9" s="20" customFormat="1">
      <c r="A63" s="133"/>
      <c r="B63" s="132">
        <v>-0.55000000000000004</v>
      </c>
      <c r="C63" s="134">
        <f>$C$55-SUM($C$57:C62)</f>
        <v>0</v>
      </c>
      <c r="D63" s="135">
        <f t="shared" si="4"/>
        <v>0</v>
      </c>
      <c r="F63" s="23"/>
      <c r="G63" s="170" t="str">
        <f t="shared" si="5"/>
        <v/>
      </c>
      <c r="H63" s="23"/>
    </row>
    <row r="64" spans="1:9" s="20" customFormat="1" ht="1.8" customHeight="1">
      <c r="A64" s="70"/>
      <c r="B64" s="86"/>
      <c r="C64" s="74"/>
      <c r="E64" s="87"/>
      <c r="F64" s="23"/>
      <c r="G64" s="103"/>
      <c r="H64" s="23"/>
    </row>
    <row r="65" spans="1:8" s="20" customFormat="1">
      <c r="A65" s="64" t="s">
        <v>125</v>
      </c>
      <c r="B65" s="88">
        <v>0</v>
      </c>
      <c r="C65" s="74"/>
      <c r="E65" s="87">
        <f t="shared" ref="E65:E68" si="6">F65/C$55</f>
        <v>0</v>
      </c>
      <c r="F65" s="90"/>
      <c r="G65" s="103"/>
      <c r="H65" s="173"/>
    </row>
    <row r="66" spans="1:8" s="20" customFormat="1">
      <c r="A66" s="64" t="s">
        <v>126</v>
      </c>
      <c r="B66" s="88">
        <v>0</v>
      </c>
      <c r="C66" s="74"/>
      <c r="E66" s="87">
        <f t="shared" si="6"/>
        <v>0</v>
      </c>
      <c r="F66" s="90"/>
      <c r="G66" s="103"/>
      <c r="H66" s="23"/>
    </row>
    <row r="67" spans="1:8" s="20" customFormat="1" hidden="1">
      <c r="A67" s="174" t="s">
        <v>53</v>
      </c>
      <c r="B67" s="86"/>
      <c r="C67" s="74"/>
      <c r="E67" s="87"/>
      <c r="F67" s="175">
        <f>ROUND(IF(SUM(F55,F65)&gt;0,F66,SUM(F55,F65:F66)),2)</f>
        <v>-2498.3000000000002</v>
      </c>
      <c r="G67" s="103"/>
      <c r="H67" s="23"/>
    </row>
    <row r="68" spans="1:8" s="20" customFormat="1">
      <c r="A68" s="64" t="str">
        <f>IF(SUM(B68:B69)=1,"Ek Ehe-/Lebenspartner &lt; 6000,-/Jahr","Alleinverdiener, -erzieherabsetzbetrag")</f>
        <v>Alleinverdiener, -erzieherabsetzbetrag</v>
      </c>
      <c r="B68" s="88">
        <f>IF(ISBLANK(F68),0,1)</f>
        <v>0</v>
      </c>
      <c r="C68" s="89"/>
      <c r="E68" s="87">
        <f t="shared" si="6"/>
        <v>0</v>
      </c>
      <c r="F68" s="90"/>
      <c r="G68" s="103"/>
      <c r="H68" s="173"/>
    </row>
    <row r="69" spans="1:8" s="20" customFormat="1">
      <c r="A69" s="19" t="s">
        <v>52</v>
      </c>
      <c r="B69" s="88">
        <f>IF(F69=130,1,IF(F69=305,2,IF(F69=525,3,IF(F69=745,4,IF(F69=965,5,IF(F69=1185,6,IF(F69=1405,7,0)))))))</f>
        <v>0</v>
      </c>
      <c r="C69" s="21"/>
      <c r="D69" s="19"/>
      <c r="E69" s="87">
        <f>F69/C$55</f>
        <v>0</v>
      </c>
      <c r="F69" s="90"/>
      <c r="G69" s="103"/>
    </row>
    <row r="70" spans="1:8" s="20" customFormat="1" hidden="1">
      <c r="A70" s="79" t="s">
        <v>53</v>
      </c>
      <c r="B70" s="79"/>
      <c r="C70" s="80"/>
      <c r="D70" s="79"/>
      <c r="E70" s="91"/>
      <c r="F70" s="80">
        <f>ROUND(IF(F69=0,IF(SUM(F67,F68)&gt;0,0,SUM(F67:F69)),SUM(F67:F69)),2)</f>
        <v>-2498.3000000000002</v>
      </c>
      <c r="G70" s="103"/>
    </row>
    <row r="71" spans="1:8" s="20" customFormat="1">
      <c r="A71" s="25" t="s">
        <v>54</v>
      </c>
      <c r="B71" s="92">
        <f>IF(F71&gt;0,1,0)</f>
        <v>0</v>
      </c>
      <c r="C71" s="74"/>
      <c r="E71" s="87">
        <f>F71/C$55</f>
        <v>0</v>
      </c>
      <c r="F71" s="90"/>
      <c r="G71" s="103"/>
      <c r="H71" s="173"/>
    </row>
    <row r="72" spans="1:8" s="20" customFormat="1">
      <c r="A72" s="93" t="str">
        <f>IF(F72&lt;=0,"Einkommensteuer (ESt) des Jahres","ESt-Gutschrift aus Negativsteuer")</f>
        <v>Einkommensteuer (ESt) des Jahres</v>
      </c>
      <c r="B72" s="93"/>
      <c r="C72" s="80">
        <f>F72</f>
        <v>-2498</v>
      </c>
      <c r="D72" s="51">
        <f>ROUND(C72/C37,3)</f>
        <v>-0.09</v>
      </c>
      <c r="E72" s="91">
        <f>SUM(E55:E71)</f>
        <v>-0.11818993367871433</v>
      </c>
      <c r="F72" s="80">
        <f>ROUND(IF(F70&gt;0,F70,IF(SUM(F70:F71)&gt;0,0,SUM(F70:F71))),0)</f>
        <v>-2498</v>
      </c>
      <c r="G72" s="74" t="str">
        <f>IF(G49="inkl. MKZ für",IF(B69&gt;2,IF(ISBLANK(G51),ROUND(G50*20,2),ROUND(G51*20,2)),""),"")</f>
        <v/>
      </c>
    </row>
    <row r="73" spans="1:8" s="20" customFormat="1" ht="13.5" customHeight="1" thickBot="1">
      <c r="A73" s="94" t="s">
        <v>142</v>
      </c>
      <c r="B73" s="95"/>
      <c r="C73" s="96">
        <f>SUM(C55,C72)</f>
        <v>18640.009999999998</v>
      </c>
      <c r="D73" s="122">
        <f>ROUND(C73/C37,3)</f>
        <v>0.67</v>
      </c>
      <c r="E73" s="323" t="str">
        <f>IF(C55&lt;=11000,"",CONCATENATE(" (Grenzsteuersatz .. ",SUM(G58:G63)*-100," %)"))</f>
        <v xml:space="preserve"> (Grenzsteuersatz .. 35 %)</v>
      </c>
      <c r="F73" s="323"/>
    </row>
    <row r="74" spans="1:8" s="20" customFormat="1" ht="29.25" customHeight="1" thickTop="1">
      <c r="A74" s="26"/>
      <c r="B74" s="26"/>
      <c r="C74" s="27"/>
      <c r="D74" s="27"/>
      <c r="E74" s="27"/>
      <c r="F74" s="39"/>
    </row>
    <row r="75" spans="1:8" ht="12">
      <c r="A75" s="1" t="s">
        <v>63</v>
      </c>
      <c r="B75" s="2" t="s">
        <v>0</v>
      </c>
      <c r="C75" s="2" t="s">
        <v>1</v>
      </c>
      <c r="D75" s="34" t="s">
        <v>4</v>
      </c>
      <c r="E75" s="35"/>
      <c r="F75" s="104" t="s">
        <v>58</v>
      </c>
    </row>
    <row r="76" spans="1:8">
      <c r="A76" s="4" t="s">
        <v>5</v>
      </c>
      <c r="B76" s="53">
        <f>ROUND(B11,2)</f>
        <v>3000</v>
      </c>
      <c r="C76" s="18">
        <f>B76*12</f>
        <v>36000</v>
      </c>
      <c r="D76" s="57">
        <v>1</v>
      </c>
    </row>
    <row r="77" spans="1:8">
      <c r="A77" s="4" t="s">
        <v>92</v>
      </c>
      <c r="B77" s="54">
        <f>ROUND(SUM(B14:B16,B18:B23,B25:B30,B32:B33),2)</f>
        <v>0</v>
      </c>
      <c r="C77" s="18">
        <f>B77*12</f>
        <v>0</v>
      </c>
      <c r="D77" s="57">
        <f>ROUND(B77/B76,3)</f>
        <v>0</v>
      </c>
    </row>
    <row r="78" spans="1:8">
      <c r="A78" s="16" t="s">
        <v>7</v>
      </c>
      <c r="B78" s="53">
        <f>ROUND(B47,2)</f>
        <v>-936.9</v>
      </c>
      <c r="C78" s="18">
        <f>B78*12</f>
        <v>-11242.8</v>
      </c>
      <c r="D78" s="57">
        <f>ROUND(B78/B76,3)</f>
        <v>-0.312</v>
      </c>
      <c r="E78" s="123" t="str">
        <f>CONCATENATE(" (davon  ",ROUND(SUM(C40,C78),2)," Nachforderung)")</f>
        <v xml:space="preserve"> (davon  -3082,8 Nachforderung)</v>
      </c>
    </row>
    <row r="79" spans="1:8">
      <c r="A79" s="4" t="s">
        <v>102</v>
      </c>
      <c r="B79" s="53">
        <f>ROUND(C72/12,2)</f>
        <v>-208.17</v>
      </c>
      <c r="C79" s="18">
        <f>B79*12</f>
        <v>-2498.04</v>
      </c>
      <c r="D79" s="57">
        <f>ROUND(B79/B76,3)</f>
        <v>-6.9000000000000006E-2</v>
      </c>
    </row>
    <row r="80" spans="1:8" ht="12" thickBot="1">
      <c r="A80" s="8" t="s">
        <v>55</v>
      </c>
      <c r="B80" s="55">
        <f>ROUND(SUM(B76:B79),2)</f>
        <v>1854.93</v>
      </c>
      <c r="C80" s="28">
        <f>B80*12</f>
        <v>22259.16</v>
      </c>
      <c r="D80" s="58">
        <f>ROUND(B80/B76,4)</f>
        <v>0.61829999999999996</v>
      </c>
      <c r="E80" s="38"/>
      <c r="F80" s="37"/>
    </row>
    <row r="81" spans="1:6" ht="12.6" thickTop="1" thickBot="1">
      <c r="A81" s="29" t="s">
        <v>56</v>
      </c>
      <c r="B81" s="56">
        <f>ROUND(B80*12/14,2)</f>
        <v>1589.94</v>
      </c>
      <c r="C81" s="97"/>
      <c r="D81" s="98"/>
      <c r="E81" s="99"/>
      <c r="F81" s="99"/>
    </row>
    <row r="82" spans="1:6" s="20" customFormat="1" ht="25.5" customHeight="1" thickTop="1">
      <c r="A82" s="26"/>
      <c r="B82" s="26"/>
      <c r="C82" s="27"/>
      <c r="D82" s="27"/>
      <c r="E82" s="27"/>
      <c r="F82" s="39"/>
    </row>
    <row r="83" spans="1:6" ht="13.2">
      <c r="A83" s="108" t="s">
        <v>64</v>
      </c>
      <c r="B83" s="2" t="s">
        <v>0</v>
      </c>
      <c r="C83" s="2" t="s">
        <v>1</v>
      </c>
      <c r="D83" s="34"/>
      <c r="E83" s="35"/>
      <c r="F83" s="104" t="s">
        <v>58</v>
      </c>
    </row>
    <row r="84" spans="1:6" ht="13.5" customHeight="1">
      <c r="A84" s="20" t="s">
        <v>59</v>
      </c>
      <c r="B84" s="105">
        <f>C84/12</f>
        <v>2063.1008333333334</v>
      </c>
      <c r="C84" s="105">
        <f>C11+C34+C47-C17-C31-C33</f>
        <v>24757.21</v>
      </c>
    </row>
    <row r="85" spans="1:6">
      <c r="A85" s="20" t="s">
        <v>60</v>
      </c>
      <c r="B85" s="105">
        <f>C85/12</f>
        <v>0</v>
      </c>
      <c r="C85" s="105">
        <f>C33</f>
        <v>0</v>
      </c>
    </row>
    <row r="86" spans="1:6">
      <c r="A86" s="93" t="s">
        <v>61</v>
      </c>
      <c r="B86" s="80">
        <f>SUM(B84:B85)</f>
        <v>2063.1008333333334</v>
      </c>
      <c r="C86" s="80">
        <f>SUM(C84:C85)</f>
        <v>24757.21</v>
      </c>
    </row>
    <row r="87" spans="1:6">
      <c r="A87" s="20" t="s">
        <v>62</v>
      </c>
      <c r="B87" s="105">
        <f>C87/12</f>
        <v>0</v>
      </c>
      <c r="C87" s="105">
        <f>C17</f>
        <v>0</v>
      </c>
    </row>
    <row r="88" spans="1:6" ht="12" thickBot="1">
      <c r="A88" s="106" t="str">
        <f>IF(C88&lt;0,"   V e r l u s t","   G e w i n n   ( Überschuß)")</f>
        <v xml:space="preserve">   G e w i n n   ( Überschuß)</v>
      </c>
      <c r="B88" s="107">
        <f>ROUND(SUM(B86:B87),2)</f>
        <v>2063.1</v>
      </c>
      <c r="C88" s="107">
        <f>ROUND(SUM(C86:C87),2)</f>
        <v>24757.21</v>
      </c>
      <c r="D88" s="109"/>
      <c r="E88" s="37"/>
      <c r="F88" s="37"/>
    </row>
    <row r="89" spans="1:6" s="20" customFormat="1" ht="25.5" customHeight="1" thickTop="1">
      <c r="A89" s="26"/>
      <c r="B89" s="26"/>
      <c r="C89" s="27"/>
      <c r="D89" s="27"/>
      <c r="E89" s="27"/>
      <c r="F89" s="39"/>
    </row>
    <row r="90" spans="1:6" ht="13.2">
      <c r="A90" s="108" t="s">
        <v>65</v>
      </c>
      <c r="B90" s="2" t="s">
        <v>0</v>
      </c>
      <c r="C90" s="2" t="s">
        <v>1</v>
      </c>
      <c r="D90" s="34"/>
      <c r="E90" s="35"/>
      <c r="F90" s="104" t="s">
        <v>58</v>
      </c>
    </row>
    <row r="91" spans="1:6" ht="12.75" customHeight="1">
      <c r="A91" s="4" t="s">
        <v>66</v>
      </c>
      <c r="C91" s="113"/>
    </row>
    <row r="92" spans="1:6">
      <c r="A92" s="110" t="s">
        <v>67</v>
      </c>
      <c r="B92" s="111"/>
      <c r="C92" s="46"/>
    </row>
    <row r="93" spans="1:6" ht="14.25" customHeight="1">
      <c r="A93" s="4" t="s">
        <v>68</v>
      </c>
      <c r="C93" s="18">
        <f>SUM(C91:C92)</f>
        <v>0</v>
      </c>
    </row>
    <row r="94" spans="1:6">
      <c r="A94" s="110" t="s">
        <v>69</v>
      </c>
      <c r="B94" s="111"/>
      <c r="C94" s="46"/>
      <c r="D94" s="114"/>
      <c r="E94" s="112">
        <f>SUM(C93:C94)</f>
        <v>0</v>
      </c>
    </row>
    <row r="95" spans="1:6" ht="17.25" customHeight="1">
      <c r="A95" s="4" t="s">
        <v>70</v>
      </c>
      <c r="B95" s="18">
        <f>C95/12</f>
        <v>1854.93</v>
      </c>
      <c r="C95" s="18">
        <f>C80</f>
        <v>22259.16</v>
      </c>
    </row>
    <row r="96" spans="1:6">
      <c r="A96" s="110" t="s">
        <v>71</v>
      </c>
      <c r="B96" s="46"/>
      <c r="C96" s="112">
        <f>B96*12</f>
        <v>0</v>
      </c>
      <c r="D96" s="114"/>
      <c r="E96" s="112">
        <f>SUM(C95:C96)</f>
        <v>22259.16</v>
      </c>
    </row>
    <row r="97" spans="1:9" ht="13.5" customHeight="1">
      <c r="A97" s="4" t="s">
        <v>72</v>
      </c>
      <c r="B97" s="18">
        <f>C97/12</f>
        <v>0</v>
      </c>
      <c r="C97" s="113"/>
      <c r="E97" s="18">
        <f>C97</f>
        <v>0</v>
      </c>
    </row>
    <row r="98" spans="1:9" ht="15" customHeight="1" thickBot="1">
      <c r="A98" s="106" t="str">
        <f>IF(C98&lt;0,"   U n t e r d e c k u n g   gesamt","   Ü b e r d e c k u n g   gesamt")</f>
        <v xml:space="preserve">   Ü b e r d e c k u n g   gesamt</v>
      </c>
      <c r="B98" s="9"/>
      <c r="C98" s="28">
        <f>SUM(C93:C97)</f>
        <v>22259.16</v>
      </c>
      <c r="D98" s="109"/>
      <c r="E98" s="28">
        <f>SUM(E94:E97)</f>
        <v>22259.16</v>
      </c>
      <c r="F98" s="37"/>
    </row>
    <row r="99" spans="1:9" s="20" customFormat="1" ht="25.5" customHeight="1" thickTop="1">
      <c r="A99" s="26"/>
      <c r="B99" s="26"/>
      <c r="C99" s="27"/>
      <c r="D99" s="27"/>
      <c r="E99" s="27"/>
      <c r="F99" s="39"/>
    </row>
    <row r="100" spans="1:9">
      <c r="C100" s="5"/>
    </row>
    <row r="101" spans="1:9">
      <c r="C101" s="5"/>
    </row>
    <row r="102" spans="1:9">
      <c r="C102" s="5"/>
    </row>
    <row r="103" spans="1:9">
      <c r="C103" s="5"/>
    </row>
    <row r="104" spans="1:9">
      <c r="C104" s="5"/>
    </row>
    <row r="105" spans="1:9">
      <c r="C105" s="5"/>
    </row>
    <row r="106" spans="1:9">
      <c r="C106" s="5"/>
    </row>
    <row r="107" spans="1:9">
      <c r="C107" s="5"/>
    </row>
    <row r="108" spans="1:9">
      <c r="C108" s="5"/>
    </row>
    <row r="109" spans="1:9" s="7" customFormat="1">
      <c r="A109" s="4"/>
      <c r="B109" s="5"/>
      <c r="C109" s="5"/>
      <c r="E109" s="3"/>
      <c r="F109" s="3"/>
      <c r="G109" s="3"/>
      <c r="H109" s="3"/>
      <c r="I109" s="3"/>
    </row>
    <row r="110" spans="1:9" s="7" customFormat="1">
      <c r="A110" s="4"/>
      <c r="B110" s="5"/>
      <c r="C110" s="5"/>
      <c r="E110" s="3"/>
      <c r="F110" s="3"/>
      <c r="G110" s="3"/>
      <c r="H110" s="3"/>
      <c r="I110" s="3"/>
    </row>
    <row r="111" spans="1:9" s="7" customFormat="1">
      <c r="A111" s="4"/>
      <c r="B111" s="5"/>
      <c r="C111" s="5"/>
      <c r="E111" s="3"/>
      <c r="F111" s="3"/>
      <c r="G111" s="3"/>
      <c r="H111" s="3"/>
      <c r="I111" s="3"/>
    </row>
    <row r="112" spans="1:9" s="7" customFormat="1">
      <c r="A112" s="4"/>
      <c r="B112" s="5"/>
      <c r="C112" s="5"/>
      <c r="E112" s="3"/>
      <c r="F112" s="3"/>
      <c r="G112" s="3"/>
      <c r="H112" s="3"/>
      <c r="I112" s="3"/>
    </row>
    <row r="113" spans="1:9" s="7" customFormat="1">
      <c r="A113" s="4"/>
      <c r="B113" s="5"/>
      <c r="C113" s="5"/>
      <c r="E113" s="3"/>
      <c r="F113" s="3"/>
      <c r="G113" s="3"/>
      <c r="H113" s="3"/>
      <c r="I113" s="3"/>
    </row>
    <row r="114" spans="1:9" s="7" customFormat="1">
      <c r="A114" s="4"/>
      <c r="B114" s="5"/>
      <c r="C114" s="5"/>
      <c r="E114" s="3"/>
      <c r="F114" s="3"/>
      <c r="G114" s="3"/>
      <c r="H114" s="3"/>
      <c r="I114" s="3"/>
    </row>
    <row r="115" spans="1:9" s="7" customFormat="1">
      <c r="A115" s="4"/>
      <c r="B115" s="5"/>
      <c r="C115" s="5"/>
      <c r="E115" s="3"/>
      <c r="F115" s="3"/>
      <c r="G115" s="3"/>
      <c r="H115" s="3"/>
      <c r="I115" s="3"/>
    </row>
    <row r="116" spans="1:9" s="7" customFormat="1">
      <c r="A116" s="4"/>
      <c r="B116" s="5"/>
      <c r="C116" s="5"/>
      <c r="E116" s="3"/>
      <c r="F116" s="3"/>
      <c r="G116" s="3"/>
      <c r="H116" s="3"/>
      <c r="I116" s="3"/>
    </row>
    <row r="117" spans="1:9" s="7" customFormat="1">
      <c r="A117" s="4"/>
      <c r="B117" s="5"/>
      <c r="C117" s="5"/>
      <c r="E117" s="3"/>
      <c r="F117" s="3"/>
      <c r="G117" s="3"/>
      <c r="H117" s="3"/>
      <c r="I117" s="3"/>
    </row>
    <row r="118" spans="1:9" s="7" customFormat="1">
      <c r="A118" s="4"/>
      <c r="B118" s="5"/>
      <c r="C118" s="5"/>
      <c r="E118" s="3"/>
      <c r="F118" s="3"/>
      <c r="G118" s="3"/>
      <c r="H118" s="3"/>
      <c r="I118" s="3"/>
    </row>
    <row r="119" spans="1:9" s="7" customFormat="1">
      <c r="A119" s="4"/>
      <c r="B119" s="5"/>
      <c r="C119" s="5"/>
      <c r="E119" s="3"/>
      <c r="F119" s="3"/>
      <c r="G119" s="3"/>
      <c r="H119" s="3"/>
      <c r="I119" s="3"/>
    </row>
    <row r="120" spans="1:9" s="7" customFormat="1">
      <c r="A120" s="4"/>
      <c r="B120" s="5"/>
      <c r="C120" s="5"/>
      <c r="E120" s="3"/>
      <c r="F120" s="3"/>
      <c r="G120" s="3"/>
      <c r="H120" s="3"/>
      <c r="I120" s="3"/>
    </row>
  </sheetData>
  <sheetProtection password="C837" sheet="1" objects="1" scenarios="1" autoFilter="0"/>
  <mergeCells count="4">
    <mergeCell ref="A1:D1"/>
    <mergeCell ref="E1:F1"/>
    <mergeCell ref="D42:F42"/>
    <mergeCell ref="E73:F73"/>
  </mergeCells>
  <conditionalFormatting sqref="F68">
    <cfRule type="expression" dxfId="199" priority="1">
      <formula>AND($F$66&gt;0,$F$69&lt;1)</formula>
    </cfRule>
    <cfRule type="expression" dxfId="198" priority="5" stopIfTrue="1">
      <formula>AND(F68=0,F69&gt;0)</formula>
    </cfRule>
  </conditionalFormatting>
  <conditionalFormatting sqref="B68">
    <cfRule type="expression" dxfId="197" priority="6" stopIfTrue="1">
      <formula>AND(F68=0,F69&gt;0)</formula>
    </cfRule>
  </conditionalFormatting>
  <conditionalFormatting sqref="B69">
    <cfRule type="expression" dxfId="196" priority="7" stopIfTrue="1">
      <formula>AND(F68=0,F69&gt;0)</formula>
    </cfRule>
  </conditionalFormatting>
  <conditionalFormatting sqref="G49">
    <cfRule type="expression" dxfId="195" priority="8" stopIfTrue="1">
      <formula>AND(B69&gt;2)</formula>
    </cfRule>
  </conditionalFormatting>
  <conditionalFormatting sqref="G52:G56 G64:G71">
    <cfRule type="expression" dxfId="194" priority="9" stopIfTrue="1">
      <formula>AND(B$69&gt;2)</formula>
    </cfRule>
  </conditionalFormatting>
  <conditionalFormatting sqref="G72">
    <cfRule type="expression" dxfId="193" priority="10" stopIfTrue="1">
      <formula>AND(B69&gt;2)</formula>
    </cfRule>
  </conditionalFormatting>
  <conditionalFormatting sqref="G48">
    <cfRule type="expression" dxfId="192" priority="11" stopIfTrue="1">
      <formula>AND(B69&gt;2)</formula>
    </cfRule>
  </conditionalFormatting>
  <conditionalFormatting sqref="G51">
    <cfRule type="expression" dxfId="191" priority="12" stopIfTrue="1">
      <formula>AND(B69&gt;2)</formula>
    </cfRule>
  </conditionalFormatting>
  <conditionalFormatting sqref="G50">
    <cfRule type="expression" dxfId="190" priority="13" stopIfTrue="1">
      <formula>AND(B69&gt;2)</formula>
    </cfRule>
  </conditionalFormatting>
  <conditionalFormatting sqref="E78">
    <cfRule type="expression" dxfId="189" priority="14" stopIfTrue="1">
      <formula>SUM(C40,C78)&lt;0</formula>
    </cfRule>
  </conditionalFormatting>
  <conditionalFormatting sqref="D38">
    <cfRule type="cellIs" dxfId="188" priority="15" stopIfTrue="1" operator="notBetween">
      <formula>0</formula>
      <formula>-0.13</formula>
    </cfRule>
  </conditionalFormatting>
  <conditionalFormatting sqref="F69">
    <cfRule type="expression" dxfId="187" priority="2">
      <formula>AND(F66&gt;0,F69&lt;1)</formula>
    </cfRule>
    <cfRule type="expression" dxfId="186" priority="16" stopIfTrue="1">
      <formula>AND(F68=0,F69&gt;0)</formula>
    </cfRule>
    <cfRule type="expression" dxfId="185" priority="17" stopIfTrue="1">
      <formula>AND(F68&gt;0,F69=0)</formula>
    </cfRule>
  </conditionalFormatting>
  <conditionalFormatting sqref="G57:G63">
    <cfRule type="expression" dxfId="184" priority="4" stopIfTrue="1">
      <formula>AND(B$69&gt;2)</formula>
    </cfRule>
  </conditionalFormatting>
  <conditionalFormatting sqref="F65">
    <cfRule type="expression" dxfId="183" priority="3">
      <formula>AND(SUM($F$55,$F$65)&gt;0)</formula>
    </cfRule>
  </conditionalFormatting>
  <dataValidations count="22">
    <dataValidation type="decimal" allowBlank="1" showInputMessage="1" showErrorMessage="1" sqref="F66">
      <formula1>0</formula1>
      <formula2>2499</formula2>
    </dataValidation>
    <dataValidation type="decimal" allowBlank="1" showInputMessage="1" showErrorMessage="1" sqref="F65">
      <formula1>0</formula1>
      <formula2>14999</formula2>
    </dataValidation>
    <dataValidation type="decimal" allowBlank="1" showInputMessage="1" showErrorMessage="1" errorTitle="RVO: Fehler zu Grundfreibetrag!" error="Nur negative Werte bis Min -3.900,- erlaubt!" sqref="C38">
      <formula1>-3900</formula1>
      <formula2>0</formula2>
    </dataValidation>
    <dataValidation type="decimal" allowBlank="1" showInputMessage="1" showErrorMessage="1" errorTitle="RVO: Fehler zu FBiG!" error="Nur negative Werte erlaubt!_x000a_GFB total max 13% d. Gewinns!" sqref="C39">
      <formula1>(C37-30000)*-0.13</formula1>
      <formula2>0</formula2>
    </dataValidation>
    <dataValidation type="decimal" operator="greaterThanOrEqual" allowBlank="1" showInputMessage="1" showErrorMessage="1" errorTitle="RVO: Fehler zur Bemessung!" error="Die Eingabe ist auf einen positiven Wert beschränkt!" sqref="E43:F46">
      <formula1>0</formula1>
    </dataValidation>
    <dataValidation type="decimal" operator="lessThanOrEqual" allowBlank="1" showInputMessage="1" showErrorMessage="1" errorTitle="RVO: Fehler zu Afg!" error="Die Eingabe ist auf einen negativen Wert beschränkt!" sqref="D45">
      <formula1>0</formula1>
    </dataValidation>
    <dataValidation type="decimal" operator="lessThanOrEqual" allowBlank="1" showInputMessage="1" showErrorMessage="1" errorTitle="RVO: Fehler zu PV!" error="Die Eingabe ist auf einen negativen Wert beschränkt!" sqref="D43">
      <formula1>0</formula1>
    </dataValidation>
    <dataValidation type="decimal" operator="lessThanOrEqual" allowBlank="1" showInputMessage="1" showErrorMessage="1" errorTitle="RVO: Fehler zu KV!" error="Die Eingabe ist auf einen negativen Wert beschränkt!" sqref="D44">
      <formula1>0</formula1>
    </dataValidation>
    <dataValidation type="decimal" operator="lessThanOrEqual" allowBlank="1" showInputMessage="1" showErrorMessage="1" errorTitle="RVO: Fehler zu Alv!" error="Die Eingabe ist auf einen negativen Wert beschränkt!" sqref="D46">
      <formula1>0</formula1>
    </dataValidation>
    <dataValidation type="list" allowBlank="1" showInputMessage="1" showErrorMessage="1" errorTitle="RVO zu Mehrkinderzuschlag:" error="Auswahl auf Vorbelegung &quot;drop down&quot;-Liste beschränkt!" sqref="G49">
      <formula1>"inkl. MKZ für, ohne MKZ"</formula1>
    </dataValidation>
    <dataValidation type="decimal" allowBlank="1" showInputMessage="1" showErrorMessage="1" errorTitle="RVO zu Unterhaltsabsetzbetrag:" error="Eingabe derzeit auf 0 bis 2.000,- beschränkt!" sqref="F71">
      <formula1>0</formula1>
      <formula2>2000</formula2>
    </dataValidation>
    <dataValidation type="decimal" allowBlank="1" showInputMessage="1" showErrorMessage="1" errorTitle="RVO zu Ist-Werte SA" error="Die Eingabe erlaubt einen positiven Wert von 0 bis 15.000!" sqref="E49:E50">
      <formula1>0</formula1>
      <formula2>15000</formula2>
    </dataValidation>
    <dataValidation type="decimal" allowBlank="1" showInputMessage="1" showErrorMessage="1" errorTitle="RVO zu Ist-Werte AB" error="Die Eingabe erlaubt einen positiven Wert von 0 bis 40.000!" sqref="E53">
      <formula1>0</formula1>
      <formula2>40000</formula2>
    </dataValidation>
    <dataValidation type="decimal" allowBlank="1" showInputMessage="1" showErrorMessage="1" errorTitle="RVO zu KiFB:" error="Die Eingabe erlaubt einen negativen Wert von -2200,- bis 0!" sqref="C51">
      <formula1>-3080</formula1>
      <formula2>0</formula2>
    </dataValidation>
    <dataValidation type="decimal" allowBlank="1" showInputMessage="1" showErrorMessage="1" errorTitle="RVO zu AB:" error="Die Eingabe erlaubt einen negativen Wert von -40.000,- bis 0!" sqref="C54">
      <formula1>-40000</formula1>
      <formula2>0</formula2>
    </dataValidation>
    <dataValidation type="decimal" allowBlank="1" showInputMessage="1" showErrorMessage="1" errorTitle="RVO: Fehler zu Einnahme!" error="Werte zwischen Null und 999.999,- erlaubt!" sqref="C94 B3:B10">
      <formula1>0</formula1>
      <formula2>999999</formula2>
    </dataValidation>
    <dataValidation type="decimal" allowBlank="1" showInputMessage="1" showErrorMessage="1" errorTitle="RVO: Fehler zu UV!" error="Die Eingabe erfordert einen negativen Wert._x000a_Derzeit sind Werte von -99,99 bis 0 zulässig." sqref="B42">
      <formula1>-99.99</formula1>
      <formula2>0.01</formula2>
    </dataValidation>
    <dataValidation type="decimal" allowBlank="1" showInputMessage="1" showErrorMessage="1" errorTitle="RVO: Fehler zu Ausgabe!" error="Nur negative Werte zwischen Null und &quot;Minus&quot;  -999.999,- erlaubt!" sqref="C91:C92 B96 B14:B33">
      <formula1>-999999</formula1>
      <formula2>0</formula2>
    </dataValidation>
    <dataValidation type="decimal" allowBlank="1" showInputMessage="1" showErrorMessage="1" errorTitle="RVO: Fehler zu UV !!!" error="Die Eingabe erfordert einen negativen Wert!" sqref="C42">
      <formula1>-300</formula1>
      <formula2>0</formula2>
    </dataValidation>
    <dataValidation type="list" allowBlank="1" showInputMessage="1" showErrorMessage="1" errorTitle="RVO zu Kinderzuschlag:" error="Eingabe lt. Liste. Die Werte steigen nach Anzahl der Kinder!" sqref="F69">
      <formula1>"0,130,305,525,745,965,1185,1405"</formula1>
    </dataValidation>
    <dataValidation type="list" operator="equal" allowBlank="1" showInputMessage="1" showErrorMessage="1" errorTitle="RVO zu Absetzbetrag:" error="Wert Null oder 364 gefordert!" sqref="F68">
      <formula1>"0,364"</formula1>
    </dataValidation>
    <dataValidation type="list" allowBlank="1" showInputMessage="1" showErrorMessage="1" sqref="G51">
      <formula1>"1,2,3,4,5,6,7,8,9,10,11,12,13,14,15,16,17,18,19,20,21,22,23,24,25,26,27,28,29,30,31,32,33,34,35,36,37,38,39,40,41,42,43,44,45,46,47,48,49,50,51,52,53,54,55,56,57,58,59,60,"</formula1>
    </dataValidation>
  </dataValidations>
  <hyperlinks>
    <hyperlink ref="F36" r:id="rId1" display="www.rvo.at"/>
    <hyperlink ref="F75" r:id="rId2" display="www.rvo.at"/>
    <hyperlink ref="F83" r:id="rId3" display="www.rvo.at"/>
    <hyperlink ref="F90" r:id="rId4" display="www.rvo.at"/>
    <hyperlink ref="G43" r:id="rId5"/>
    <hyperlink ref="H48" r:id="rId6" display="https://www.frauen-familien-jugend.bka.gv.at/familie/finanzielle-unterstuetzungen/mehrkindzuschlag.html"/>
    <hyperlink ref="H49" r:id="rId7"/>
  </hyperlinks>
  <printOptions horizontalCentered="1" gridLines="1"/>
  <pageMargins left="0.35" right="0.21" top="0.48" bottom="0.49" header="0.25" footer="0.23"/>
  <pageSetup paperSize="9" orientation="portrait" r:id="rId8"/>
  <headerFooter alignWithMargins="0">
    <oddHeader>&amp;L&amp;8&amp;F&amp;C&amp;8&amp;A&amp;R&amp;8&amp;D</oddHeader>
    <oddFooter>&amp;L&amp;8copyright © www.rvo.at</oddFooter>
  </headerFooter>
  <legacyDrawing r:id="rId9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24</vt:i4>
      </vt:variant>
      <vt:variant>
        <vt:lpstr>Benannte Bereiche</vt:lpstr>
      </vt:variant>
      <vt:variant>
        <vt:i4>48</vt:i4>
      </vt:variant>
    </vt:vector>
  </HeadingPairs>
  <TitlesOfParts>
    <vt:vector size="72" baseType="lpstr">
      <vt:lpstr>RVO Jahresbudget 2025</vt:lpstr>
      <vt:lpstr>ESt-Tarif 2025</vt:lpstr>
      <vt:lpstr>RVO Jahresbudget 2024</vt:lpstr>
      <vt:lpstr>ESt-Tarif 2024</vt:lpstr>
      <vt:lpstr>RVO Jahresbudget 2023</vt:lpstr>
      <vt:lpstr>ESt-Tarif 2023</vt:lpstr>
      <vt:lpstr>RVO Jahresbudget 2022</vt:lpstr>
      <vt:lpstr>ESt-Tarif 2022</vt:lpstr>
      <vt:lpstr>RVO Jahresbudget 2021</vt:lpstr>
      <vt:lpstr>RVO Jahresbudget 2020</vt:lpstr>
      <vt:lpstr>ESt-Tarif 2020</vt:lpstr>
      <vt:lpstr>RVO Jahresbudget 2019</vt:lpstr>
      <vt:lpstr>RVO Jahresbudget 2018</vt:lpstr>
      <vt:lpstr>RVO Jahresbudget 2017</vt:lpstr>
      <vt:lpstr>RVO Jahresbudget 2016</vt:lpstr>
      <vt:lpstr>ESt-Tarif 2016</vt:lpstr>
      <vt:lpstr>RVO Jahresbudget 2015</vt:lpstr>
      <vt:lpstr>RVO Jahresbudget 2014</vt:lpstr>
      <vt:lpstr>RVO Jahresbudget 2013</vt:lpstr>
      <vt:lpstr>RVO Jahresbudget 2012</vt:lpstr>
      <vt:lpstr>RVO Jahresbudget 2011</vt:lpstr>
      <vt:lpstr>RVO Jahresbudget 2010</vt:lpstr>
      <vt:lpstr>RVO Jahresbudget 2009</vt:lpstr>
      <vt:lpstr>RVO Jahresbudget 2008</vt:lpstr>
      <vt:lpstr>'ESt-Tarif 2016'!Druckbereich</vt:lpstr>
      <vt:lpstr>'ESt-Tarif 2020'!Druckbereich</vt:lpstr>
      <vt:lpstr>'ESt-Tarif 2022'!Druckbereich</vt:lpstr>
      <vt:lpstr>'ESt-Tarif 2023'!Druckbereich</vt:lpstr>
      <vt:lpstr>'ESt-Tarif 2024'!Druckbereich</vt:lpstr>
      <vt:lpstr>'ESt-Tarif 2025'!Druckbereich</vt:lpstr>
      <vt:lpstr>'RVO Jahresbudget 2008'!Druckbereich</vt:lpstr>
      <vt:lpstr>'RVO Jahresbudget 2009'!Druckbereich</vt:lpstr>
      <vt:lpstr>'RVO Jahresbudget 2010'!Druckbereich</vt:lpstr>
      <vt:lpstr>'RVO Jahresbudget 2011'!Druckbereich</vt:lpstr>
      <vt:lpstr>'RVO Jahresbudget 2012'!Druckbereich</vt:lpstr>
      <vt:lpstr>'RVO Jahresbudget 2013'!Druckbereich</vt:lpstr>
      <vt:lpstr>'RVO Jahresbudget 2014'!Druckbereich</vt:lpstr>
      <vt:lpstr>'RVO Jahresbudget 2015'!Druckbereich</vt:lpstr>
      <vt:lpstr>'RVO Jahresbudget 2016'!Druckbereich</vt:lpstr>
      <vt:lpstr>'RVO Jahresbudget 2017'!Druckbereich</vt:lpstr>
      <vt:lpstr>'RVO Jahresbudget 2018'!Druckbereich</vt:lpstr>
      <vt:lpstr>'RVO Jahresbudget 2019'!Druckbereich</vt:lpstr>
      <vt:lpstr>'RVO Jahresbudget 2020'!Druckbereich</vt:lpstr>
      <vt:lpstr>'RVO Jahresbudget 2021'!Druckbereich</vt:lpstr>
      <vt:lpstr>'RVO Jahresbudget 2022'!Druckbereich</vt:lpstr>
      <vt:lpstr>'RVO Jahresbudget 2023'!Druckbereich</vt:lpstr>
      <vt:lpstr>'RVO Jahresbudget 2024'!Druckbereich</vt:lpstr>
      <vt:lpstr>'RVO Jahresbudget 2025'!Druckbereich</vt:lpstr>
      <vt:lpstr>'ESt-Tarif 2016'!Drucktitel</vt:lpstr>
      <vt:lpstr>'ESt-Tarif 2020'!Drucktitel</vt:lpstr>
      <vt:lpstr>'ESt-Tarif 2022'!Drucktitel</vt:lpstr>
      <vt:lpstr>'ESt-Tarif 2023'!Drucktitel</vt:lpstr>
      <vt:lpstr>'ESt-Tarif 2024'!Drucktitel</vt:lpstr>
      <vt:lpstr>'ESt-Tarif 2025'!Drucktitel</vt:lpstr>
      <vt:lpstr>'RVO Jahresbudget 2008'!Drucktitel</vt:lpstr>
      <vt:lpstr>'RVO Jahresbudget 2009'!Drucktitel</vt:lpstr>
      <vt:lpstr>'RVO Jahresbudget 2010'!Drucktitel</vt:lpstr>
      <vt:lpstr>'RVO Jahresbudget 2011'!Drucktitel</vt:lpstr>
      <vt:lpstr>'RVO Jahresbudget 2012'!Drucktitel</vt:lpstr>
      <vt:lpstr>'RVO Jahresbudget 2013'!Drucktitel</vt:lpstr>
      <vt:lpstr>'RVO Jahresbudget 2014'!Drucktitel</vt:lpstr>
      <vt:lpstr>'RVO Jahresbudget 2015'!Drucktitel</vt:lpstr>
      <vt:lpstr>'RVO Jahresbudget 2016'!Drucktitel</vt:lpstr>
      <vt:lpstr>'RVO Jahresbudget 2017'!Drucktitel</vt:lpstr>
      <vt:lpstr>'RVO Jahresbudget 2018'!Drucktitel</vt:lpstr>
      <vt:lpstr>'RVO Jahresbudget 2019'!Drucktitel</vt:lpstr>
      <vt:lpstr>'RVO Jahresbudget 2020'!Drucktitel</vt:lpstr>
      <vt:lpstr>'RVO Jahresbudget 2021'!Drucktitel</vt:lpstr>
      <vt:lpstr>'RVO Jahresbudget 2022'!Drucktitel</vt:lpstr>
      <vt:lpstr>'RVO Jahresbudget 2023'!Drucktitel</vt:lpstr>
      <vt:lpstr>'RVO Jahresbudget 2024'!Drucktitel</vt:lpstr>
      <vt:lpstr>'RVO Jahresbudget 2025'!Drucktitel</vt:lpstr>
    </vt:vector>
  </TitlesOfParts>
  <Company>http://www.rvo.at/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RVO Jahresbudget</dc:title>
  <dc:creator>Clemens Öhlböck</dc:creator>
  <dc:description>Jahresbudget inkl. SV- und ESt-Vorschau mit Berechnungsgrundlagen.</dc:description>
  <cp:lastModifiedBy>clemens öhlböck</cp:lastModifiedBy>
  <cp:lastPrinted>2025-04-21T14:18:01Z</cp:lastPrinted>
  <dcterms:created xsi:type="dcterms:W3CDTF">2004-12-27T08:02:15Z</dcterms:created>
  <dcterms:modified xsi:type="dcterms:W3CDTF">2025-04-21T14:19:41Z</dcterms:modified>
</cp:coreProperties>
</file>